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cedimentos\Concurso Público\Eletricidade\RC\"/>
    </mc:Choice>
  </mc:AlternateContent>
  <xr:revisionPtr revIDLastSave="0" documentId="13_ncr:1_{F82E4C55-5C03-48C7-86D6-261A6E70312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ote 1 BTN" sheetId="4" r:id="rId1"/>
    <sheet name="Lote 2 BTE" sheetId="3" r:id="rId2"/>
    <sheet name="Lote 3 MT" sheetId="2" r:id="rId3"/>
    <sheet name="Lote 4 BTN (IP)" sheetId="5" r:id="rId4"/>
    <sheet name="ML" sheetId="1" r:id="rId5"/>
  </sheets>
  <definedNames>
    <definedName name="_xlnm.Print_Area" localSheetId="4">ML!$A$10:$R$139</definedName>
  </definedNames>
  <calcPr calcId="191029"/>
</workbook>
</file>

<file path=xl/calcChain.xml><?xml version="1.0" encoding="utf-8"?>
<calcChain xmlns="http://schemas.openxmlformats.org/spreadsheetml/2006/main">
  <c r="C25" i="1" l="1"/>
  <c r="P17" i="1" s="1"/>
  <c r="C26" i="1"/>
  <c r="P18" i="1" s="1"/>
  <c r="C27" i="1"/>
  <c r="P21" i="1" s="1"/>
  <c r="C24" i="1"/>
  <c r="P15" i="1" s="1"/>
  <c r="C52" i="1"/>
  <c r="P43" i="1" s="1"/>
  <c r="C53" i="1"/>
  <c r="P46" i="1" s="1"/>
  <c r="C54" i="1"/>
  <c r="P48" i="1" s="1"/>
  <c r="C51" i="1"/>
  <c r="P42" i="1" s="1"/>
  <c r="G81" i="1"/>
  <c r="P69" i="1" s="1"/>
  <c r="G82" i="1"/>
  <c r="P70" i="1" s="1"/>
  <c r="G83" i="1"/>
  <c r="P71" i="1" s="1"/>
  <c r="G84" i="1"/>
  <c r="P73" i="1" s="1"/>
  <c r="G85" i="1"/>
  <c r="P75" i="1" s="1"/>
  <c r="G80" i="1"/>
  <c r="P68" i="1" s="1"/>
  <c r="G118" i="1"/>
  <c r="P106" i="1" s="1"/>
  <c r="G119" i="1"/>
  <c r="P107" i="1" s="1"/>
  <c r="G120" i="1"/>
  <c r="P109" i="1" s="1"/>
  <c r="G121" i="1"/>
  <c r="P111" i="1" s="1"/>
  <c r="G117" i="1"/>
  <c r="P105" i="1" s="1"/>
  <c r="G116" i="1"/>
  <c r="P104" i="1" s="1"/>
  <c r="L77" i="1"/>
  <c r="L53" i="1"/>
  <c r="R53" i="1" s="1"/>
  <c r="P47" i="1" l="1"/>
  <c r="P14" i="1"/>
  <c r="P16" i="1"/>
  <c r="P44" i="1"/>
  <c r="P20" i="1"/>
  <c r="P19" i="1"/>
  <c r="P41" i="1"/>
  <c r="P45" i="1"/>
  <c r="J61" i="1"/>
  <c r="J34" i="1"/>
  <c r="L26" i="1"/>
  <c r="L105" i="1" l="1"/>
  <c r="R113" i="1" l="1"/>
  <c r="N24" i="1" l="1"/>
  <c r="N22" i="1"/>
  <c r="N51" i="1"/>
  <c r="N49" i="1"/>
  <c r="K128" i="1"/>
  <c r="L125" i="1"/>
  <c r="R125" i="1" s="1"/>
  <c r="L124" i="1"/>
  <c r="R124" i="1" s="1"/>
  <c r="R123" i="1"/>
  <c r="L122" i="1"/>
  <c r="R122" i="1" s="1"/>
  <c r="L121" i="1"/>
  <c r="R121" i="1" s="1"/>
  <c r="L120" i="1"/>
  <c r="R120" i="1" s="1"/>
  <c r="L119" i="1"/>
  <c r="R119" i="1" s="1"/>
  <c r="L118" i="1"/>
  <c r="R118" i="1" s="1"/>
  <c r="L117" i="1"/>
  <c r="R117" i="1" s="1"/>
  <c r="L116" i="1"/>
  <c r="R116" i="1" s="1"/>
  <c r="L115" i="1"/>
  <c r="R115" i="1" s="1"/>
  <c r="L114" i="1"/>
  <c r="R114" i="1" s="1"/>
  <c r="L42" i="1" l="1"/>
  <c r="L41" i="1"/>
  <c r="L48" i="1"/>
  <c r="L47" i="1"/>
  <c r="L46" i="1"/>
  <c r="L45" i="1"/>
  <c r="L44" i="1"/>
  <c r="L43" i="1"/>
  <c r="L54" i="1" l="1"/>
  <c r="R54" i="1" s="1"/>
  <c r="I61" i="1"/>
  <c r="L56" i="1"/>
  <c r="R56" i="1" s="1"/>
  <c r="F5" i="1" l="1"/>
  <c r="C129" i="1"/>
  <c r="L112" i="1"/>
  <c r="L111" i="1"/>
  <c r="L110" i="1"/>
  <c r="L109" i="1"/>
  <c r="L108" i="1"/>
  <c r="L107" i="1"/>
  <c r="L106" i="1"/>
  <c r="L104" i="1"/>
  <c r="S105" i="1" l="1"/>
  <c r="S106" i="1"/>
  <c r="L133" i="1"/>
  <c r="I7" i="1" s="1"/>
  <c r="L127" i="1"/>
  <c r="I133" i="1"/>
  <c r="L128" i="1"/>
  <c r="R128" i="1" s="1"/>
  <c r="N133" i="1" l="1"/>
  <c r="K7" i="1" s="1"/>
  <c r="F7" i="1"/>
  <c r="R127" i="1"/>
  <c r="L71" i="1" l="1"/>
  <c r="L72" i="1"/>
  <c r="L73" i="1"/>
  <c r="L74" i="1"/>
  <c r="L75" i="1"/>
  <c r="L76" i="1"/>
  <c r="L88" i="1" l="1"/>
  <c r="L89" i="1"/>
  <c r="L87" i="1"/>
  <c r="L80" i="1"/>
  <c r="L81" i="1"/>
  <c r="L82" i="1"/>
  <c r="L83" i="1"/>
  <c r="L84" i="1"/>
  <c r="L85" i="1"/>
  <c r="L86" i="1"/>
  <c r="L79" i="1"/>
  <c r="L78" i="1"/>
  <c r="R77" i="1"/>
  <c r="K92" i="1"/>
  <c r="K57" i="1"/>
  <c r="K54" i="1"/>
  <c r="K53" i="1"/>
  <c r="K30" i="1"/>
  <c r="K27" i="1"/>
  <c r="K26" i="1"/>
  <c r="L57" i="1"/>
  <c r="L30" i="1"/>
  <c r="R89" i="1" l="1"/>
  <c r="R88" i="1"/>
  <c r="R87" i="1"/>
  <c r="R86" i="1"/>
  <c r="R85" i="1"/>
  <c r="R84" i="1"/>
  <c r="R83" i="1"/>
  <c r="R82" i="1"/>
  <c r="R81" i="1"/>
  <c r="R80" i="1"/>
  <c r="R79" i="1"/>
  <c r="R78" i="1"/>
  <c r="C93" i="1"/>
  <c r="L92" i="1" s="1"/>
  <c r="L69" i="1"/>
  <c r="L70" i="1"/>
  <c r="L68" i="1"/>
  <c r="L97" i="1" l="1"/>
  <c r="I4" i="1" s="1"/>
  <c r="I97" i="1"/>
  <c r="F4" i="1" s="1"/>
  <c r="L91" i="1"/>
  <c r="R91" i="1" l="1"/>
  <c r="N97" i="1"/>
  <c r="R92" i="1"/>
  <c r="K4" i="1" l="1"/>
  <c r="R57" i="1" l="1"/>
  <c r="R30" i="1"/>
  <c r="R46" i="1" l="1"/>
  <c r="R45" i="1"/>
  <c r="R48" i="1"/>
  <c r="R47" i="1"/>
  <c r="R69" i="1"/>
  <c r="R105" i="1"/>
  <c r="R104" i="1"/>
  <c r="R74" i="1"/>
  <c r="R72" i="1"/>
  <c r="R106" i="1"/>
  <c r="G6" i="1"/>
  <c r="R70" i="1"/>
  <c r="G5" i="1"/>
  <c r="R26" i="1"/>
  <c r="R71" i="1" l="1"/>
  <c r="R73" i="1"/>
  <c r="R108" i="1"/>
  <c r="R107" i="1"/>
  <c r="J133" i="1"/>
  <c r="P133" i="1" s="1"/>
  <c r="R112" i="1"/>
  <c r="R111" i="1"/>
  <c r="R110" i="1"/>
  <c r="R109" i="1"/>
  <c r="J97" i="1"/>
  <c r="R68" i="1"/>
  <c r="R76" i="1"/>
  <c r="R75" i="1"/>
  <c r="L25" i="1"/>
  <c r="R25" i="1" s="1"/>
  <c r="L50" i="1"/>
  <c r="R50" i="1" s="1"/>
  <c r="L51" i="1"/>
  <c r="L52" i="1"/>
  <c r="R52" i="1" s="1"/>
  <c r="L49" i="1"/>
  <c r="L23" i="1"/>
  <c r="L24" i="1"/>
  <c r="L22" i="1"/>
  <c r="L21" i="1"/>
  <c r="L20" i="1"/>
  <c r="L19" i="1"/>
  <c r="L18" i="1"/>
  <c r="L17" i="1"/>
  <c r="L16" i="1"/>
  <c r="L15" i="1"/>
  <c r="L14" i="1"/>
  <c r="L61" i="1" l="1"/>
  <c r="I5" i="1" s="1"/>
  <c r="L27" i="1"/>
  <c r="R27" i="1" s="1"/>
  <c r="I34" i="1"/>
  <c r="R126" i="1"/>
  <c r="R130" i="1" s="1"/>
  <c r="G7" i="1"/>
  <c r="R90" i="1"/>
  <c r="R94" i="1" s="1"/>
  <c r="G4" i="1"/>
  <c r="P97" i="1"/>
  <c r="R97" i="1" s="1"/>
  <c r="R22" i="1"/>
  <c r="R51" i="1"/>
  <c r="R14" i="1"/>
  <c r="R24" i="1"/>
  <c r="R43" i="1"/>
  <c r="R49" i="1"/>
  <c r="R44" i="1"/>
  <c r="R23" i="1"/>
  <c r="R21" i="1"/>
  <c r="R18" i="1"/>
  <c r="R17" i="1"/>
  <c r="R41" i="1"/>
  <c r="R15" i="1"/>
  <c r="R19" i="1"/>
  <c r="R42" i="1"/>
  <c r="R16" i="1"/>
  <c r="R20" i="1"/>
  <c r="L29" i="1"/>
  <c r="D7" i="1" l="1"/>
  <c r="R133" i="1"/>
  <c r="G8" i="1"/>
  <c r="D4" i="1"/>
  <c r="F6" i="1"/>
  <c r="N61" i="1"/>
  <c r="R29" i="1"/>
  <c r="N34" i="1"/>
  <c r="K6" i="1" s="1"/>
  <c r="L34" i="1"/>
  <c r="R28" i="1"/>
  <c r="K5" i="1" l="1"/>
  <c r="D5" i="1" s="1"/>
  <c r="M5" i="1" s="1"/>
  <c r="P61" i="1"/>
  <c r="R61" i="1" s="1"/>
  <c r="P34" i="1"/>
  <c r="R34" i="1" s="1"/>
  <c r="R55" i="1"/>
  <c r="R58" i="1" s="1"/>
  <c r="I6" i="1"/>
  <c r="I8" i="1" s="1"/>
  <c r="R31" i="1"/>
  <c r="M7" i="1"/>
  <c r="F8" i="1"/>
  <c r="M4" i="1"/>
  <c r="K8" i="1" l="1"/>
  <c r="D6" i="1"/>
  <c r="M6" i="1" s="1"/>
  <c r="D8" i="1" l="1"/>
  <c r="M8" i="1" s="1"/>
</calcChain>
</file>

<file path=xl/sharedStrings.xml><?xml version="1.0" encoding="utf-8"?>
<sst xmlns="http://schemas.openxmlformats.org/spreadsheetml/2006/main" count="544" uniqueCount="92">
  <si>
    <t>DESIGNAÇÃO</t>
  </si>
  <si>
    <t>Valores Estimados</t>
  </si>
  <si>
    <t>Tarifário do Comercializador</t>
  </si>
  <si>
    <t>Preço Final
S/ IVA</t>
  </si>
  <si>
    <t>Energia Ativa</t>
  </si>
  <si>
    <t>Horas de ponta</t>
  </si>
  <si>
    <t>Períodos I e IV</t>
  </si>
  <si>
    <t>kWh</t>
  </si>
  <si>
    <t>€/kWh</t>
  </si>
  <si>
    <t>Períodos II e III</t>
  </si>
  <si>
    <t>Horas cheias</t>
  </si>
  <si>
    <t>Horas de vazio normal</t>
  </si>
  <si>
    <t>Horas de super vazio</t>
  </si>
  <si>
    <t xml:space="preserve">Energia Reativa </t>
  </si>
  <si>
    <t>Fornecida</t>
  </si>
  <si>
    <t>Escalão 1: (0,3&lt;=tg ф&lt;0,4)</t>
  </si>
  <si>
    <t>kvarh</t>
  </si>
  <si>
    <t>€/kvarh</t>
  </si>
  <si>
    <t>Escalão 2: (0,4&lt;=tg ф&lt;0,5)</t>
  </si>
  <si>
    <t>Escalão 3: (tg ф&gt;=0,5)</t>
  </si>
  <si>
    <t>Recebida</t>
  </si>
  <si>
    <t>Potência Contratada</t>
  </si>
  <si>
    <t>kW</t>
  </si>
  <si>
    <t>€/kW.mês</t>
  </si>
  <si>
    <t>SUB-TOTAL</t>
  </si>
  <si>
    <t>TOTAL 1</t>
  </si>
  <si>
    <t>TOTAL 2</t>
  </si>
  <si>
    <t>Tarifa Simples</t>
  </si>
  <si>
    <t>Energia Ativa 
Bi-Horária</t>
  </si>
  <si>
    <t>Horas fora de vazio</t>
  </si>
  <si>
    <t>Horas de vazio</t>
  </si>
  <si>
    <t>Energia Ativa 
Tri-Horária</t>
  </si>
  <si>
    <t>(20,7kVA&lt;Pc&lt;=41,4kVA)</t>
  </si>
  <si>
    <t>1,15kVA</t>
  </si>
  <si>
    <t>€/mês</t>
  </si>
  <si>
    <t>2,3kVA</t>
  </si>
  <si>
    <t>3,45kVA</t>
  </si>
  <si>
    <t>4,6kVA</t>
  </si>
  <si>
    <t>5,75kVA</t>
  </si>
  <si>
    <t>6,9kVA</t>
  </si>
  <si>
    <t>10,35kVA</t>
  </si>
  <si>
    <t>13,8kVA</t>
  </si>
  <si>
    <t>17,25kVA</t>
  </si>
  <si>
    <t>20,7kVA</t>
  </si>
  <si>
    <t>27,6kVA</t>
  </si>
  <si>
    <t>34,5kVA</t>
  </si>
  <si>
    <t>41,4kVA</t>
  </si>
  <si>
    <t>Imp Sobre Cons Elect</t>
  </si>
  <si>
    <t>Valores Estimados Energia Reactiva</t>
  </si>
  <si>
    <t>Consumos Estimados em MT - Média Tensão</t>
  </si>
  <si>
    <t>CAV</t>
  </si>
  <si>
    <t>Valor contratual estimado em MT - Média Tensão</t>
  </si>
  <si>
    <t>Valor contratual estimado em BTE - Baixa Tensão Especial</t>
  </si>
  <si>
    <t>(Somatório das PCs)</t>
  </si>
  <si>
    <t>Quantidade de Instalações</t>
  </si>
  <si>
    <t>MT</t>
  </si>
  <si>
    <t>BTE</t>
  </si>
  <si>
    <t>Diário</t>
  </si>
  <si>
    <t>Tarifário do Comercializador Ciclo Diário</t>
  </si>
  <si>
    <t>BTN</t>
  </si>
  <si>
    <t>Un</t>
  </si>
  <si>
    <t>Consumos Estimados em BTE - Baixa Tensão Especial</t>
  </si>
  <si>
    <t>Pot. Horas de Ponta</t>
  </si>
  <si>
    <t>Valor Redes</t>
  </si>
  <si>
    <t>Valor Energia ML</t>
  </si>
  <si>
    <t>Total</t>
  </si>
  <si>
    <t>Consumo Total (kWh)</t>
  </si>
  <si>
    <t>Outras Taxas</t>
  </si>
  <si>
    <t>Preço médio</t>
  </si>
  <si>
    <t>TOTAL 4</t>
  </si>
  <si>
    <t>Consumos Estimados em BTN - Baixa Tensão Normal</t>
  </si>
  <si>
    <t>Valor contratual estimado em BTN - Baixa Tensão Normal</t>
  </si>
  <si>
    <t>Qt Instalações</t>
  </si>
  <si>
    <t>Total Instalações</t>
  </si>
  <si>
    <t>Instalações</t>
  </si>
  <si>
    <t>Valor contratual estimado Total</t>
  </si>
  <si>
    <t>Nº de meses do contrato</t>
  </si>
  <si>
    <t>nº meses</t>
  </si>
  <si>
    <t>Pc&lt;=20,7kVA)</t>
  </si>
  <si>
    <t>Consumos Estimados em BTN IP - Baixa Tensão Normal IP</t>
  </si>
  <si>
    <t>kVA</t>
  </si>
  <si>
    <t>Tarifa de Acesso às Redes (em 2019)</t>
  </si>
  <si>
    <t>&lt;=20,7kW</t>
  </si>
  <si>
    <t>&gt;20,7kW</t>
  </si>
  <si>
    <t>Nº de dias do contrato</t>
  </si>
  <si>
    <t>&lt;=20,7</t>
  </si>
  <si>
    <t>€/kW.dia</t>
  </si>
  <si>
    <t>&gt;20,7</t>
  </si>
  <si>
    <t>Lote 3 MT</t>
  </si>
  <si>
    <t>Lote 2 BTE</t>
  </si>
  <si>
    <t>Lote 1 BTN</t>
  </si>
  <si>
    <t>Lote 4 BTN (IP)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</si>
</sst>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0.0000"/>
    <numFmt numFmtId="165" formatCode="#,##0.00\ &quot;€&quot;"/>
    <numFmt numFmtId="166" formatCode="0.000"/>
    <numFmt numFmtId="167" formatCode="#,##0.0000\ &quot;€&quot;"/>
    <numFmt numFmtId="168" formatCode="#,##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0" fontId="6" fillId="0" borderId="0"/>
  </cellStyleXfs>
  <cellXfs count="227">
    <xf numFmtId="0" fontId="0" fillId="0" borderId="0" xfId="0"/>
    <xf numFmtId="0" fontId="0" fillId="0" borderId="10" xfId="0" applyBorder="1"/>
    <xf numFmtId="4" fontId="0" fillId="0" borderId="10" xfId="0" applyNumberFormat="1" applyBorder="1"/>
    <xf numFmtId="164" fontId="0" fillId="0" borderId="11" xfId="0" applyNumberFormat="1" applyBorder="1"/>
    <xf numFmtId="0" fontId="0" fillId="0" borderId="13" xfId="0" applyBorder="1"/>
    <xf numFmtId="165" fontId="0" fillId="0" borderId="11" xfId="1" applyNumberFormat="1" applyFont="1" applyBorder="1"/>
    <xf numFmtId="0" fontId="0" fillId="0" borderId="15" xfId="0" applyBorder="1"/>
    <xf numFmtId="4" fontId="0" fillId="0" borderId="16" xfId="0" applyNumberFormat="1" applyBorder="1"/>
    <xf numFmtId="4" fontId="0" fillId="0" borderId="15" xfId="0" applyNumberFormat="1" applyBorder="1"/>
    <xf numFmtId="164" fontId="0" fillId="0" borderId="16" xfId="0" applyNumberFormat="1" applyBorder="1"/>
    <xf numFmtId="0" fontId="0" fillId="0" borderId="18" xfId="0" applyBorder="1"/>
    <xf numFmtId="165" fontId="0" fillId="0" borderId="16" xfId="1" applyNumberFormat="1" applyFont="1" applyBorder="1"/>
    <xf numFmtId="0" fontId="0" fillId="4" borderId="17" xfId="0" applyFill="1" applyBorder="1"/>
    <xf numFmtId="0" fontId="0" fillId="4" borderId="18" xfId="0" applyFill="1" applyBorder="1"/>
    <xf numFmtId="0" fontId="0" fillId="0" borderId="14" xfId="0" applyBorder="1"/>
    <xf numFmtId="4" fontId="0" fillId="0" borderId="14" xfId="0" applyNumberFormat="1" applyBorder="1"/>
    <xf numFmtId="164" fontId="0" fillId="0" borderId="20" xfId="0" applyNumberFormat="1" applyBorder="1"/>
    <xf numFmtId="0" fontId="0" fillId="4" borderId="21" xfId="0" applyFill="1" applyBorder="1"/>
    <xf numFmtId="165" fontId="0" fillId="0" borderId="20" xfId="1" applyNumberFormat="1" applyFont="1" applyBorder="1"/>
    <xf numFmtId="166" fontId="0" fillId="0" borderId="16" xfId="0" applyNumberFormat="1" applyBorder="1"/>
    <xf numFmtId="166" fontId="0" fillId="0" borderId="15" xfId="0" applyNumberFormat="1" applyBorder="1"/>
    <xf numFmtId="4" fontId="0" fillId="0" borderId="22" xfId="0" applyNumberFormat="1" applyBorder="1"/>
    <xf numFmtId="4" fontId="0" fillId="0" borderId="0" xfId="0" applyNumberFormat="1"/>
    <xf numFmtId="166" fontId="0" fillId="0" borderId="22" xfId="0" applyNumberFormat="1" applyBorder="1"/>
    <xf numFmtId="166" fontId="0" fillId="0" borderId="0" xfId="0" applyNumberFormat="1"/>
    <xf numFmtId="0" fontId="0" fillId="4" borderId="23" xfId="0" applyFill="1" applyBorder="1"/>
    <xf numFmtId="0" fontId="0" fillId="4" borderId="24" xfId="0" applyFill="1" applyBorder="1"/>
    <xf numFmtId="0" fontId="3" fillId="4" borderId="10" xfId="0" applyFont="1" applyFill="1" applyBorder="1" applyAlignment="1">
      <alignment horizontal="right"/>
    </xf>
    <xf numFmtId="0" fontId="3" fillId="4" borderId="11" xfId="0" applyFont="1" applyFill="1" applyBorder="1"/>
    <xf numFmtId="0" fontId="3" fillId="4" borderId="10" xfId="0" applyFont="1" applyFill="1" applyBorder="1"/>
    <xf numFmtId="0" fontId="3" fillId="4" borderId="12" xfId="0" applyFont="1" applyFill="1" applyBorder="1"/>
    <xf numFmtId="0" fontId="3" fillId="4" borderId="13" xfId="0" applyFont="1" applyFill="1" applyBorder="1" applyAlignment="1">
      <alignment horizontal="right"/>
    </xf>
    <xf numFmtId="165" fontId="3" fillId="0" borderId="11" xfId="1" applyNumberFormat="1" applyFont="1" applyBorder="1"/>
    <xf numFmtId="0" fontId="0" fillId="0" borderId="22" xfId="0" applyBorder="1"/>
    <xf numFmtId="0" fontId="0" fillId="4" borderId="16" xfId="0" applyFill="1" applyBorder="1"/>
    <xf numFmtId="0" fontId="0" fillId="4" borderId="7" xfId="0" applyFill="1" applyBorder="1"/>
    <xf numFmtId="0" fontId="2" fillId="2" borderId="25" xfId="0" applyFont="1" applyFill="1" applyBorder="1" applyAlignment="1">
      <alignment horizontal="right"/>
    </xf>
    <xf numFmtId="0" fontId="2" fillId="2" borderId="25" xfId="0" applyFont="1" applyFill="1" applyBorder="1"/>
    <xf numFmtId="0" fontId="2" fillId="2" borderId="26" xfId="0" applyFont="1" applyFill="1" applyBorder="1"/>
    <xf numFmtId="0" fontId="2" fillId="2" borderId="27" xfId="0" applyFont="1" applyFill="1" applyBorder="1"/>
    <xf numFmtId="165" fontId="2" fillId="2" borderId="28" xfId="0" applyNumberFormat="1" applyFont="1" applyFill="1" applyBorder="1"/>
    <xf numFmtId="4" fontId="0" fillId="0" borderId="18" xfId="0" applyNumberFormat="1" applyBorder="1"/>
    <xf numFmtId="0" fontId="0" fillId="4" borderId="15" xfId="0" applyFill="1" applyBorder="1"/>
    <xf numFmtId="4" fontId="0" fillId="0" borderId="21" xfId="0" applyNumberFormat="1" applyBorder="1"/>
    <xf numFmtId="0" fontId="0" fillId="4" borderId="20" xfId="0" applyFill="1" applyBorder="1"/>
    <xf numFmtId="0" fontId="0" fillId="4" borderId="14" xfId="0" applyFill="1" applyBorder="1"/>
    <xf numFmtId="166" fontId="0" fillId="0" borderId="18" xfId="0" applyNumberFormat="1" applyBorder="1"/>
    <xf numFmtId="166" fontId="0" fillId="0" borderId="24" xfId="0" applyNumberFormat="1" applyBorder="1"/>
    <xf numFmtId="0" fontId="0" fillId="4" borderId="22" xfId="0" applyFill="1" applyBorder="1"/>
    <xf numFmtId="0" fontId="0" fillId="4" borderId="0" xfId="0" applyFill="1"/>
    <xf numFmtId="0" fontId="0" fillId="0" borderId="24" xfId="0" applyBorder="1"/>
    <xf numFmtId="0" fontId="2" fillId="2" borderId="28" xfId="0" applyFont="1" applyFill="1" applyBorder="1"/>
    <xf numFmtId="165" fontId="0" fillId="0" borderId="10" xfId="0" applyNumberFormat="1" applyBorder="1"/>
    <xf numFmtId="0" fontId="0" fillId="0" borderId="21" xfId="0" applyBorder="1"/>
    <xf numFmtId="165" fontId="0" fillId="0" borderId="14" xfId="0" applyNumberFormat="1" applyBorder="1"/>
    <xf numFmtId="165" fontId="0" fillId="0" borderId="15" xfId="0" applyNumberFormat="1" applyBorder="1"/>
    <xf numFmtId="0" fontId="0" fillId="0" borderId="16" xfId="0" applyBorder="1"/>
    <xf numFmtId="0" fontId="3" fillId="4" borderId="13" xfId="0" applyFont="1" applyFill="1" applyBorder="1"/>
    <xf numFmtId="165" fontId="3" fillId="0" borderId="10" xfId="1" applyNumberFormat="1" applyFont="1" applyBorder="1"/>
    <xf numFmtId="4" fontId="0" fillId="0" borderId="24" xfId="0" applyNumberFormat="1" applyBorder="1"/>
    <xf numFmtId="165" fontId="2" fillId="2" borderId="25" xfId="0" applyNumberFormat="1" applyFont="1" applyFill="1" applyBorder="1"/>
    <xf numFmtId="0" fontId="0" fillId="0" borderId="19" xfId="0" applyBorder="1" applyAlignment="1">
      <alignment vertical="center"/>
    </xf>
    <xf numFmtId="0" fontId="0" fillId="0" borderId="9" xfId="0" applyBorder="1" applyAlignment="1">
      <alignment vertical="center"/>
    </xf>
    <xf numFmtId="165" fontId="0" fillId="0" borderId="0" xfId="0" applyNumberFormat="1"/>
    <xf numFmtId="0" fontId="0" fillId="0" borderId="11" xfId="0" applyBorder="1"/>
    <xf numFmtId="0" fontId="0" fillId="0" borderId="30" xfId="0" applyBorder="1"/>
    <xf numFmtId="0" fontId="0" fillId="0" borderId="5" xfId="0" applyBorder="1"/>
    <xf numFmtId="0" fontId="0" fillId="0" borderId="7" xfId="0" applyBorder="1"/>
    <xf numFmtId="4" fontId="0" fillId="3" borderId="39" xfId="0" applyNumberFormat="1" applyFill="1" applyBorder="1"/>
    <xf numFmtId="4" fontId="0" fillId="3" borderId="42" xfId="0" applyNumberFormat="1" applyFill="1" applyBorder="1"/>
    <xf numFmtId="0" fontId="4" fillId="0" borderId="29" xfId="0" applyFont="1" applyBorder="1"/>
    <xf numFmtId="4" fontId="0" fillId="3" borderId="44" xfId="0" applyNumberFormat="1" applyFill="1" applyBorder="1"/>
    <xf numFmtId="0" fontId="5" fillId="2" borderId="7" xfId="0" applyFont="1" applyFill="1" applyBorder="1"/>
    <xf numFmtId="0" fontId="2" fillId="2" borderId="45" xfId="0" applyFont="1" applyFill="1" applyBorder="1"/>
    <xf numFmtId="0" fontId="5" fillId="2" borderId="7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2" fontId="0" fillId="0" borderId="16" xfId="0" applyNumberFormat="1" applyBorder="1"/>
    <xf numFmtId="3" fontId="0" fillId="0" borderId="16" xfId="0" applyNumberFormat="1" applyBorder="1"/>
    <xf numFmtId="0" fontId="2" fillId="2" borderId="46" xfId="0" applyFont="1" applyFill="1" applyBorder="1" applyAlignment="1">
      <alignment horizontal="center"/>
    </xf>
    <xf numFmtId="167" fontId="0" fillId="0" borderId="47" xfId="0" applyNumberFormat="1" applyBorder="1"/>
    <xf numFmtId="4" fontId="2" fillId="0" borderId="0" xfId="0" applyNumberFormat="1" applyFont="1"/>
    <xf numFmtId="165" fontId="0" fillId="0" borderId="0" xfId="1" applyNumberFormat="1" applyFont="1" applyAlignment="1">
      <alignment horizontal="center"/>
    </xf>
    <xf numFmtId="167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/>
    <xf numFmtId="165" fontId="2" fillId="0" borderId="0" xfId="0" applyNumberFormat="1" applyFont="1"/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3" borderId="44" xfId="0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0" fontId="0" fillId="0" borderId="40" xfId="0" applyBorder="1" applyAlignment="1">
      <alignment horizontal="center"/>
    </xf>
    <xf numFmtId="0" fontId="0" fillId="0" borderId="31" xfId="0" applyBorder="1" applyAlignment="1">
      <alignment vertical="center"/>
    </xf>
    <xf numFmtId="0" fontId="0" fillId="0" borderId="41" xfId="0" applyBorder="1" applyAlignment="1">
      <alignment vertical="center"/>
    </xf>
    <xf numFmtId="0" fontId="2" fillId="2" borderId="48" xfId="0" applyFont="1" applyFill="1" applyBorder="1" applyAlignment="1">
      <alignment horizontal="center"/>
    </xf>
    <xf numFmtId="0" fontId="2" fillId="2" borderId="49" xfId="0" applyFont="1" applyFill="1" applyBorder="1" applyAlignment="1">
      <alignment horizontal="center"/>
    </xf>
    <xf numFmtId="3" fontId="2" fillId="2" borderId="49" xfId="0" applyNumberFormat="1" applyFont="1" applyFill="1" applyBorder="1" applyAlignment="1">
      <alignment horizontal="center"/>
    </xf>
    <xf numFmtId="164" fontId="0" fillId="0" borderId="16" xfId="0" applyNumberFormat="1" applyBorder="1" applyProtection="1">
      <protection locked="0"/>
    </xf>
    <xf numFmtId="164" fontId="0" fillId="0" borderId="20" xfId="0" applyNumberForma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29" xfId="0" applyFont="1" applyBorder="1" applyAlignment="1">
      <alignment horizontal="center"/>
    </xf>
    <xf numFmtId="0" fontId="5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0" fillId="0" borderId="0" xfId="0" applyAlignment="1">
      <alignment horizontal="left"/>
    </xf>
    <xf numFmtId="164" fontId="0" fillId="0" borderId="31" xfId="0" applyNumberFormat="1" applyBorder="1" applyAlignment="1" applyProtection="1">
      <alignment vertical="center"/>
      <protection locked="0"/>
    </xf>
    <xf numFmtId="0" fontId="0" fillId="0" borderId="32" xfId="0" applyBorder="1" applyAlignment="1">
      <alignment vertical="center"/>
    </xf>
    <xf numFmtId="0" fontId="0" fillId="0" borderId="32" xfId="0" applyBorder="1" applyAlignment="1">
      <alignment horizontal="left" vertical="center"/>
    </xf>
    <xf numFmtId="2" fontId="0" fillId="0" borderId="15" xfId="0" applyNumberFormat="1" applyBorder="1"/>
    <xf numFmtId="164" fontId="0" fillId="0" borderId="15" xfId="0" applyNumberFormat="1" applyBorder="1"/>
    <xf numFmtId="0" fontId="0" fillId="0" borderId="19" xfId="0" applyBorder="1" applyAlignment="1">
      <alignment vertical="center"/>
    </xf>
    <xf numFmtId="0" fontId="0" fillId="0" borderId="9" xfId="0" applyBorder="1" applyAlignment="1">
      <alignment vertical="center"/>
    </xf>
    <xf numFmtId="3" fontId="0" fillId="3" borderId="38" xfId="0" applyNumberFormat="1" applyFill="1" applyBorder="1"/>
    <xf numFmtId="3" fontId="0" fillId="3" borderId="44" xfId="0" applyNumberFormat="1" applyFill="1" applyBorder="1"/>
    <xf numFmtId="3" fontId="0" fillId="3" borderId="42" xfId="0" applyNumberFormat="1" applyFill="1" applyBorder="1"/>
    <xf numFmtId="3" fontId="0" fillId="0" borderId="11" xfId="0" applyNumberFormat="1" applyBorder="1"/>
    <xf numFmtId="3" fontId="0" fillId="0" borderId="20" xfId="0" applyNumberFormat="1" applyBorder="1"/>
    <xf numFmtId="164" fontId="0" fillId="6" borderId="38" xfId="0" applyNumberFormat="1" applyFill="1" applyBorder="1" applyProtection="1">
      <protection locked="0"/>
    </xf>
    <xf numFmtId="168" fontId="0" fillId="6" borderId="38" xfId="0" applyNumberFormat="1" applyFill="1" applyBorder="1" applyProtection="1">
      <protection locked="0"/>
    </xf>
    <xf numFmtId="168" fontId="0" fillId="6" borderId="39" xfId="0" applyNumberFormat="1" applyFill="1" applyBorder="1" applyProtection="1">
      <protection locked="0"/>
    </xf>
    <xf numFmtId="168" fontId="0" fillId="6" borderId="40" xfId="0" applyNumberFormat="1" applyFill="1" applyBorder="1" applyProtection="1">
      <protection locked="0"/>
    </xf>
    <xf numFmtId="168" fontId="0" fillId="6" borderId="37" xfId="0" applyNumberFormat="1" applyFill="1" applyBorder="1" applyProtection="1">
      <protection locked="0"/>
    </xf>
    <xf numFmtId="3" fontId="2" fillId="2" borderId="46" xfId="0" applyNumberFormat="1" applyFont="1" applyFill="1" applyBorder="1" applyAlignment="1">
      <alignment horizontal="center"/>
    </xf>
    <xf numFmtId="3" fontId="2" fillId="0" borderId="50" xfId="0" applyNumberFormat="1" applyFont="1" applyBorder="1" applyAlignment="1">
      <alignment horizontal="center" vertical="center"/>
    </xf>
    <xf numFmtId="167" fontId="0" fillId="0" borderId="50" xfId="0" applyNumberFormat="1" applyBorder="1" applyAlignment="1">
      <alignment horizontal="center" vertical="center"/>
    </xf>
    <xf numFmtId="3" fontId="2" fillId="2" borderId="51" xfId="0" applyNumberFormat="1" applyFont="1" applyFill="1" applyBorder="1" applyAlignment="1">
      <alignment horizontal="center" vertical="center"/>
    </xf>
    <xf numFmtId="167" fontId="0" fillId="2" borderId="51" xfId="0" applyNumberFormat="1" applyFill="1" applyBorder="1" applyAlignment="1">
      <alignment horizontal="center" vertical="center"/>
    </xf>
    <xf numFmtId="3" fontId="2" fillId="0" borderId="47" xfId="0" applyNumberFormat="1" applyFont="1" applyBorder="1"/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0" fillId="0" borderId="33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7" xfId="0" applyBorder="1" applyAlignment="1">
      <alignment vertical="center"/>
    </xf>
    <xf numFmtId="165" fontId="0" fillId="0" borderId="47" xfId="1" applyNumberFormat="1" applyFont="1" applyBorder="1" applyAlignment="1">
      <alignment horizontal="center"/>
    </xf>
    <xf numFmtId="165" fontId="0" fillId="0" borderId="50" xfId="1" applyNumberFormat="1" applyFont="1" applyBorder="1" applyAlignment="1">
      <alignment horizontal="center"/>
    </xf>
    <xf numFmtId="165" fontId="0" fillId="0" borderId="50" xfId="1" applyNumberFormat="1" applyFont="1" applyBorder="1" applyAlignment="1">
      <alignment horizontal="center" vertical="center"/>
    </xf>
    <xf numFmtId="0" fontId="2" fillId="2" borderId="46" xfId="0" applyFont="1" applyFill="1" applyBorder="1" applyAlignment="1">
      <alignment horizontal="center"/>
    </xf>
    <xf numFmtId="0" fontId="0" fillId="0" borderId="34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5" xfId="0" applyBorder="1" applyAlignment="1">
      <alignment vertical="center"/>
    </xf>
    <xf numFmtId="164" fontId="0" fillId="0" borderId="33" xfId="0" applyNumberForma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" fontId="0" fillId="3" borderId="45" xfId="0" applyNumberFormat="1" applyFill="1" applyBorder="1" applyAlignment="1" applyProtection="1">
      <alignment horizontal="center" vertical="center"/>
      <protection locked="0"/>
    </xf>
    <xf numFmtId="1" fontId="0" fillId="3" borderId="42" xfId="0" applyNumberForma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2" fillId="2" borderId="3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0" fillId="0" borderId="11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4" xfId="0" applyBorder="1" applyAlignment="1">
      <alignment vertical="center" wrapText="1"/>
    </xf>
    <xf numFmtId="165" fontId="2" fillId="2" borderId="51" xfId="0" applyNumberFormat="1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165" fontId="0" fillId="2" borderId="51" xfId="0" applyNumberFormat="1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33" xfId="0" applyBorder="1" applyAlignment="1">
      <alignment vertical="center"/>
    </xf>
    <xf numFmtId="0" fontId="4" fillId="5" borderId="35" xfId="0" applyFont="1" applyFill="1" applyBorder="1" applyAlignment="1">
      <alignment horizontal="center"/>
    </xf>
    <xf numFmtId="0" fontId="4" fillId="5" borderId="36" xfId="0" applyFont="1" applyFill="1" applyBorder="1" applyAlignment="1">
      <alignment horizontal="center"/>
    </xf>
    <xf numFmtId="0" fontId="4" fillId="5" borderId="43" xfId="0" applyFont="1" applyFill="1" applyBorder="1" applyAlignment="1">
      <alignment horizontal="center"/>
    </xf>
    <xf numFmtId="2" fontId="0" fillId="3" borderId="45" xfId="0" applyNumberFormat="1" applyFill="1" applyBorder="1" applyAlignment="1" applyProtection="1">
      <alignment horizontal="center" vertical="center"/>
      <protection locked="0"/>
    </xf>
    <xf numFmtId="2" fontId="0" fillId="3" borderId="42" xfId="0" applyNumberFormat="1" applyFill="1" applyBorder="1" applyAlignment="1" applyProtection="1">
      <alignment horizontal="center" vertical="center"/>
      <protection locked="0"/>
    </xf>
    <xf numFmtId="165" fontId="2" fillId="2" borderId="51" xfId="0" applyNumberFormat="1" applyFont="1" applyFill="1" applyBorder="1" applyAlignment="1">
      <alignment horizontal="center"/>
    </xf>
    <xf numFmtId="0" fontId="2" fillId="2" borderId="51" xfId="0" applyFont="1" applyFill="1" applyBorder="1" applyAlignment="1">
      <alignment horizontal="center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165" fontId="0" fillId="0" borderId="52" xfId="1" applyNumberFormat="1" applyFont="1" applyBorder="1" applyAlignment="1">
      <alignment horizontal="center"/>
    </xf>
    <xf numFmtId="3" fontId="2" fillId="0" borderId="52" xfId="0" applyNumberFormat="1" applyFont="1" applyBorder="1" applyAlignment="1">
      <alignment horizontal="center" vertical="center"/>
    </xf>
    <xf numFmtId="165" fontId="0" fillId="0" borderId="52" xfId="1" applyNumberFormat="1" applyFont="1" applyBorder="1" applyAlignment="1">
      <alignment horizontal="center" vertical="center"/>
    </xf>
    <xf numFmtId="167" fontId="0" fillId="0" borderId="52" xfId="0" applyNumberFormat="1" applyBorder="1" applyAlignment="1">
      <alignment horizontal="center" vertical="center"/>
    </xf>
    <xf numFmtId="165" fontId="0" fillId="0" borderId="53" xfId="1" applyNumberFormat="1" applyFont="1" applyBorder="1" applyAlignment="1">
      <alignment horizontal="center"/>
    </xf>
    <xf numFmtId="3" fontId="2" fillId="0" borderId="53" xfId="0" applyNumberFormat="1" applyFont="1" applyBorder="1" applyAlignment="1">
      <alignment horizontal="center" vertical="center"/>
    </xf>
    <xf numFmtId="165" fontId="0" fillId="0" borderId="53" xfId="1" applyNumberFormat="1" applyFon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165" fontId="2" fillId="7" borderId="55" xfId="1" applyNumberFormat="1" applyFont="1" applyFill="1" applyBorder="1" applyAlignment="1">
      <alignment horizontal="center" vertical="center"/>
    </xf>
    <xf numFmtId="165" fontId="2" fillId="7" borderId="56" xfId="1" applyNumberFormat="1" applyFont="1" applyFill="1" applyBorder="1" applyAlignment="1">
      <alignment horizontal="center" vertical="center"/>
    </xf>
    <xf numFmtId="165" fontId="2" fillId="7" borderId="57" xfId="1" applyNumberFormat="1" applyFont="1" applyFill="1" applyBorder="1" applyAlignment="1">
      <alignment horizontal="center" vertical="center"/>
    </xf>
    <xf numFmtId="165" fontId="2" fillId="7" borderId="58" xfId="1" applyNumberFormat="1" applyFont="1" applyFill="1" applyBorder="1" applyAlignment="1">
      <alignment horizontal="center" vertical="center"/>
    </xf>
    <xf numFmtId="165" fontId="2" fillId="7" borderId="59" xfId="1" applyNumberFormat="1" applyFont="1" applyFill="1" applyBorder="1" applyAlignment="1">
      <alignment horizontal="center" vertical="center"/>
    </xf>
    <xf numFmtId="165" fontId="2" fillId="7" borderId="60" xfId="1" applyNumberFormat="1" applyFont="1" applyFill="1" applyBorder="1" applyAlignment="1">
      <alignment horizontal="center" vertical="center"/>
    </xf>
    <xf numFmtId="165" fontId="2" fillId="7" borderId="61" xfId="1" applyNumberFormat="1" applyFont="1" applyFill="1" applyBorder="1" applyAlignment="1">
      <alignment horizontal="center" vertical="center"/>
    </xf>
    <xf numFmtId="165" fontId="2" fillId="7" borderId="62" xfId="1" applyNumberFormat="1" applyFont="1" applyFill="1" applyBorder="1" applyAlignment="1">
      <alignment horizontal="center" vertical="center"/>
    </xf>
    <xf numFmtId="165" fontId="2" fillId="7" borderId="63" xfId="0" applyNumberFormat="1" applyFont="1" applyFill="1" applyBorder="1" applyAlignment="1">
      <alignment horizontal="center" vertical="center"/>
    </xf>
    <xf numFmtId="165" fontId="2" fillId="7" borderId="64" xfId="0" applyNumberFormat="1" applyFont="1" applyFill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 134" xfId="4" xr:uid="{00000000-0005-0000-0000-000002000000}"/>
    <cellStyle name="Normal 2 2" xfId="3" xr:uid="{00000000-0005-0000-0000-000003000000}"/>
    <cellStyle name="Percent 3" xfId="2" xr:uid="{00000000-0005-0000-0000-000005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E63F4-2AB5-4ED0-863E-A3E06ABC2BBE}">
  <dimension ref="A1:C9"/>
  <sheetViews>
    <sheetView tabSelected="1" workbookViewId="0">
      <selection activeCell="C4" sqref="C4"/>
    </sheetView>
  </sheetViews>
  <sheetFormatPr defaultRowHeight="14.4" x14ac:dyDescent="0.3"/>
  <cols>
    <col min="1" max="1" width="12.5546875" bestFit="1" customWidth="1"/>
    <col min="2" max="2" width="18" bestFit="1" customWidth="1"/>
  </cols>
  <sheetData>
    <row r="1" spans="1:3" ht="15" thickBot="1" x14ac:dyDescent="0.35"/>
    <row r="2" spans="1:3" x14ac:dyDescent="0.3">
      <c r="A2" s="129" t="s">
        <v>2</v>
      </c>
      <c r="B2" s="130"/>
      <c r="C2" s="131"/>
    </row>
    <row r="3" spans="1:3" x14ac:dyDescent="0.3">
      <c r="A3" s="132"/>
      <c r="B3" s="133"/>
      <c r="C3" s="134"/>
    </row>
    <row r="4" spans="1:3" x14ac:dyDescent="0.3">
      <c r="A4" s="93" t="s">
        <v>4</v>
      </c>
      <c r="B4" s="112" t="s">
        <v>27</v>
      </c>
      <c r="C4" s="119"/>
    </row>
    <row r="5" spans="1:3" x14ac:dyDescent="0.3">
      <c r="A5" s="135" t="s">
        <v>28</v>
      </c>
      <c r="B5" s="6" t="s">
        <v>29</v>
      </c>
      <c r="C5" s="119"/>
    </row>
    <row r="6" spans="1:3" x14ac:dyDescent="0.3">
      <c r="A6" s="136"/>
      <c r="B6" s="14" t="s">
        <v>30</v>
      </c>
      <c r="C6" s="119"/>
    </row>
    <row r="7" spans="1:3" x14ac:dyDescent="0.3">
      <c r="A7" s="135" t="s">
        <v>31</v>
      </c>
      <c r="B7" s="111" t="s">
        <v>5</v>
      </c>
      <c r="C7" s="119"/>
    </row>
    <row r="8" spans="1:3" x14ac:dyDescent="0.3">
      <c r="A8" s="137"/>
      <c r="B8" s="111" t="s">
        <v>10</v>
      </c>
      <c r="C8" s="119"/>
    </row>
    <row r="9" spans="1:3" x14ac:dyDescent="0.3">
      <c r="A9" s="138"/>
      <c r="B9" s="94" t="s">
        <v>30</v>
      </c>
      <c r="C9" s="122"/>
    </row>
  </sheetData>
  <mergeCells count="3">
    <mergeCell ref="A2:C3"/>
    <mergeCell ref="A5:A6"/>
    <mergeCell ref="A7:A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F9C1D-8CE6-4612-9225-2FB9BC125D20}">
  <dimension ref="A1:B7"/>
  <sheetViews>
    <sheetView workbookViewId="0">
      <selection activeCell="A4" sqref="A4"/>
    </sheetView>
  </sheetViews>
  <sheetFormatPr defaultRowHeight="14.4" x14ac:dyDescent="0.3"/>
  <cols>
    <col min="1" max="1" width="20.6640625" bestFit="1" customWidth="1"/>
  </cols>
  <sheetData>
    <row r="1" spans="1:2" ht="15" thickBot="1" x14ac:dyDescent="0.35"/>
    <row r="2" spans="1:2" x14ac:dyDescent="0.3">
      <c r="A2" s="129" t="s">
        <v>2</v>
      </c>
      <c r="B2" s="131"/>
    </row>
    <row r="3" spans="1:2" x14ac:dyDescent="0.3">
      <c r="A3" s="132"/>
      <c r="B3" s="134"/>
    </row>
    <row r="4" spans="1:2" x14ac:dyDescent="0.3">
      <c r="A4" s="64" t="s">
        <v>5</v>
      </c>
      <c r="B4" s="119"/>
    </row>
    <row r="5" spans="1:2" x14ac:dyDescent="0.3">
      <c r="A5" s="56" t="s">
        <v>10</v>
      </c>
      <c r="B5" s="120"/>
    </row>
    <row r="6" spans="1:2" x14ac:dyDescent="0.3">
      <c r="A6" s="56" t="s">
        <v>11</v>
      </c>
      <c r="B6" s="120"/>
    </row>
    <row r="7" spans="1:2" x14ac:dyDescent="0.3">
      <c r="A7" s="65" t="s">
        <v>12</v>
      </c>
      <c r="B7" s="121"/>
    </row>
  </sheetData>
  <mergeCells count="1">
    <mergeCell ref="A2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E3A4-2BE0-48D3-A181-7332316F6320}">
  <dimension ref="A1:B7"/>
  <sheetViews>
    <sheetView workbookViewId="0">
      <selection activeCell="B4" sqref="B4:B7"/>
    </sheetView>
  </sheetViews>
  <sheetFormatPr defaultRowHeight="14.4" x14ac:dyDescent="0.3"/>
  <cols>
    <col min="1" max="1" width="20.6640625" bestFit="1" customWidth="1"/>
  </cols>
  <sheetData>
    <row r="1" spans="1:2" ht="15" thickBot="1" x14ac:dyDescent="0.35"/>
    <row r="2" spans="1:2" x14ac:dyDescent="0.3">
      <c r="A2" s="129" t="s">
        <v>2</v>
      </c>
      <c r="B2" s="131"/>
    </row>
    <row r="3" spans="1:2" x14ac:dyDescent="0.3">
      <c r="A3" s="132"/>
      <c r="B3" s="134"/>
    </row>
    <row r="4" spans="1:2" x14ac:dyDescent="0.3">
      <c r="A4" s="64" t="s">
        <v>5</v>
      </c>
      <c r="B4" s="119"/>
    </row>
    <row r="5" spans="1:2" x14ac:dyDescent="0.3">
      <c r="A5" s="56" t="s">
        <v>10</v>
      </c>
      <c r="B5" s="120"/>
    </row>
    <row r="6" spans="1:2" x14ac:dyDescent="0.3">
      <c r="A6" s="56" t="s">
        <v>11</v>
      </c>
      <c r="B6" s="120"/>
    </row>
    <row r="7" spans="1:2" x14ac:dyDescent="0.3">
      <c r="A7" s="65" t="s">
        <v>12</v>
      </c>
      <c r="B7" s="121"/>
    </row>
  </sheetData>
  <mergeCells count="1">
    <mergeCell ref="A2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7D1CA-E433-46E4-B337-FCC358030441}">
  <dimension ref="A1:C9"/>
  <sheetViews>
    <sheetView workbookViewId="0">
      <selection activeCell="C10" sqref="C10"/>
    </sheetView>
  </sheetViews>
  <sheetFormatPr defaultRowHeight="14.4" x14ac:dyDescent="0.3"/>
  <cols>
    <col min="1" max="1" width="12.5546875" bestFit="1" customWidth="1"/>
    <col min="2" max="2" width="18" bestFit="1" customWidth="1"/>
  </cols>
  <sheetData>
    <row r="1" spans="1:3" ht="15" thickBot="1" x14ac:dyDescent="0.35"/>
    <row r="2" spans="1:3" x14ac:dyDescent="0.3">
      <c r="A2" s="129" t="s">
        <v>2</v>
      </c>
      <c r="B2" s="130"/>
      <c r="C2" s="131"/>
    </row>
    <row r="3" spans="1:3" x14ac:dyDescent="0.3">
      <c r="A3" s="132"/>
      <c r="B3" s="133"/>
      <c r="C3" s="134"/>
    </row>
    <row r="4" spans="1:3" x14ac:dyDescent="0.3">
      <c r="A4" s="93" t="s">
        <v>4</v>
      </c>
      <c r="B4" s="112" t="s">
        <v>27</v>
      </c>
      <c r="C4" s="119"/>
    </row>
    <row r="5" spans="1:3" x14ac:dyDescent="0.3">
      <c r="A5" s="135" t="s">
        <v>28</v>
      </c>
      <c r="B5" s="6" t="s">
        <v>29</v>
      </c>
      <c r="C5" s="119"/>
    </row>
    <row r="6" spans="1:3" x14ac:dyDescent="0.3">
      <c r="A6" s="136"/>
      <c r="B6" s="14" t="s">
        <v>30</v>
      </c>
      <c r="C6" s="119"/>
    </row>
    <row r="7" spans="1:3" x14ac:dyDescent="0.3">
      <c r="A7" s="135" t="s">
        <v>31</v>
      </c>
      <c r="B7" s="111" t="s">
        <v>5</v>
      </c>
      <c r="C7" s="119"/>
    </row>
    <row r="8" spans="1:3" x14ac:dyDescent="0.3">
      <c r="A8" s="137"/>
      <c r="B8" s="111" t="s">
        <v>10</v>
      </c>
      <c r="C8" s="119"/>
    </row>
    <row r="9" spans="1:3" x14ac:dyDescent="0.3">
      <c r="A9" s="138"/>
      <c r="B9" s="94" t="s">
        <v>30</v>
      </c>
      <c r="C9" s="122"/>
    </row>
  </sheetData>
  <mergeCells count="3">
    <mergeCell ref="A2:C3"/>
    <mergeCell ref="A5:A6"/>
    <mergeCell ref="A7:A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33"/>
  <sheetViews>
    <sheetView zoomScale="85" zoomScaleNormal="85" workbookViewId="0">
      <selection activeCell="C14" sqref="C14"/>
    </sheetView>
  </sheetViews>
  <sheetFormatPr defaultRowHeight="14.4" x14ac:dyDescent="0.3"/>
  <cols>
    <col min="1" max="1" width="2.33203125" customWidth="1"/>
    <col min="2" max="2" width="20.6640625" bestFit="1" customWidth="1"/>
    <col min="3" max="3" width="18" bestFit="1" customWidth="1"/>
    <col min="4" max="4" width="20.44140625" bestFit="1" customWidth="1"/>
    <col min="5" max="5" width="12.5546875" bestFit="1" customWidth="1"/>
    <col min="6" max="6" width="23.33203125" bestFit="1" customWidth="1"/>
    <col min="7" max="7" width="13.5546875" bestFit="1" customWidth="1"/>
    <col min="8" max="8" width="3" customWidth="1"/>
    <col min="9" max="9" width="19.6640625" bestFit="1" customWidth="1"/>
    <col min="10" max="10" width="20.6640625" bestFit="1" customWidth="1"/>
    <col min="11" max="11" width="23.33203125" bestFit="1" customWidth="1"/>
    <col min="12" max="12" width="12.6640625" bestFit="1" customWidth="1"/>
    <col min="13" max="13" width="12.109375" bestFit="1" customWidth="1"/>
    <col min="15" max="15" width="10" bestFit="1" customWidth="1"/>
    <col min="18" max="18" width="13.88671875" bestFit="1" customWidth="1"/>
    <col min="21" max="21" width="11.5546875" bestFit="1" customWidth="1"/>
  </cols>
  <sheetData>
    <row r="1" spans="2:18" ht="16.2" thickBot="1" x14ac:dyDescent="0.35">
      <c r="B1" s="198" t="s">
        <v>75</v>
      </c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200"/>
    </row>
    <row r="3" spans="2:18" ht="15" thickBot="1" x14ac:dyDescent="0.35">
      <c r="B3" s="142" t="s">
        <v>74</v>
      </c>
      <c r="C3" s="142"/>
      <c r="D3" s="215" t="s">
        <v>65</v>
      </c>
      <c r="E3" s="216"/>
      <c r="F3" s="123" t="s">
        <v>66</v>
      </c>
      <c r="G3" s="142" t="s">
        <v>64</v>
      </c>
      <c r="H3" s="142"/>
      <c r="I3" s="142" t="s">
        <v>63</v>
      </c>
      <c r="J3" s="142"/>
      <c r="K3" s="142" t="s">
        <v>67</v>
      </c>
      <c r="L3" s="142"/>
      <c r="M3" s="78" t="s">
        <v>68</v>
      </c>
    </row>
    <row r="4" spans="2:18" x14ac:dyDescent="0.3">
      <c r="B4" s="140" t="s">
        <v>90</v>
      </c>
      <c r="C4" s="140"/>
      <c r="D4" s="217">
        <f>G4+I4+K4</f>
        <v>147385.80850000001</v>
      </c>
      <c r="E4" s="218"/>
      <c r="F4" s="124">
        <f>I97</f>
        <v>1353464</v>
      </c>
      <c r="G4" s="141">
        <f>J97</f>
        <v>0</v>
      </c>
      <c r="H4" s="141"/>
      <c r="I4" s="141">
        <f>L97</f>
        <v>139123.94450000001</v>
      </c>
      <c r="J4" s="141"/>
      <c r="K4" s="141">
        <f>N97</f>
        <v>8261.8640000000014</v>
      </c>
      <c r="L4" s="141"/>
      <c r="M4" s="125">
        <f>IF(F4=0,0,D4/F4)</f>
        <v>0.108895255802888</v>
      </c>
    </row>
    <row r="5" spans="2:18" x14ac:dyDescent="0.3">
      <c r="B5" s="207" t="s">
        <v>89</v>
      </c>
      <c r="C5" s="207"/>
      <c r="D5" s="219">
        <f>G5+I5+K5</f>
        <v>91530.278186986296</v>
      </c>
      <c r="E5" s="220"/>
      <c r="F5" s="208">
        <f>I61</f>
        <v>1163359</v>
      </c>
      <c r="G5" s="209">
        <f>J61</f>
        <v>0</v>
      </c>
      <c r="H5" s="209"/>
      <c r="I5" s="209">
        <f>L61</f>
        <v>89888.119186986296</v>
      </c>
      <c r="J5" s="209"/>
      <c r="K5" s="209">
        <f>N61</f>
        <v>1642.1589999999999</v>
      </c>
      <c r="L5" s="209"/>
      <c r="M5" s="210">
        <f>IF(F5=0,0,D5/F5)</f>
        <v>7.8677586357251972E-2</v>
      </c>
    </row>
    <row r="6" spans="2:18" x14ac:dyDescent="0.3">
      <c r="B6" s="211" t="s">
        <v>88</v>
      </c>
      <c r="C6" s="211"/>
      <c r="D6" s="221">
        <f>G6+I6+K6</f>
        <v>63481.062931080036</v>
      </c>
      <c r="E6" s="222"/>
      <c r="F6" s="212">
        <f>I34</f>
        <v>1302779.9900000002</v>
      </c>
      <c r="G6" s="213">
        <f>J34</f>
        <v>0</v>
      </c>
      <c r="H6" s="213"/>
      <c r="I6" s="213">
        <f>L34</f>
        <v>62041.482941080038</v>
      </c>
      <c r="J6" s="213"/>
      <c r="K6" s="213">
        <f>N34</f>
        <v>1439.5799900000002</v>
      </c>
      <c r="L6" s="213"/>
      <c r="M6" s="214">
        <f>IF(F6=0,0,D6/F6)</f>
        <v>4.8727385604901731E-2</v>
      </c>
    </row>
    <row r="7" spans="2:18" ht="15" thickBot="1" x14ac:dyDescent="0.35">
      <c r="B7" s="140" t="s">
        <v>91</v>
      </c>
      <c r="C7" s="140"/>
      <c r="D7" s="223">
        <f>P133</f>
        <v>553104.29512000002</v>
      </c>
      <c r="E7" s="224"/>
      <c r="F7" s="124">
        <f>I133</f>
        <v>4183903</v>
      </c>
      <c r="G7" s="141">
        <f>J133</f>
        <v>0</v>
      </c>
      <c r="H7" s="141"/>
      <c r="I7" s="141">
        <f>L133</f>
        <v>362188.39212000003</v>
      </c>
      <c r="J7" s="141"/>
      <c r="K7" s="141">
        <f>N133</f>
        <v>190915.90299999999</v>
      </c>
      <c r="L7" s="141"/>
      <c r="M7" s="125">
        <f>IF(F7=0,0,D7/F7)</f>
        <v>0.1321981640396539</v>
      </c>
    </row>
    <row r="8" spans="2:18" x14ac:dyDescent="0.3">
      <c r="B8" s="203" t="s">
        <v>65</v>
      </c>
      <c r="C8" s="204"/>
      <c r="D8" s="225">
        <f>SUM(D5:E7)</f>
        <v>708115.63623806636</v>
      </c>
      <c r="E8" s="226"/>
      <c r="F8" s="126">
        <f>SUM(F5:F7)</f>
        <v>6650041.9900000002</v>
      </c>
      <c r="G8" s="190">
        <f>SUM(G5:H7)</f>
        <v>0</v>
      </c>
      <c r="H8" s="191"/>
      <c r="I8" s="192">
        <f>SUM(I5:J7)</f>
        <v>514117.99424806633</v>
      </c>
      <c r="J8" s="193"/>
      <c r="K8" s="190">
        <f>SUM(K5:L7)</f>
        <v>193997.64199</v>
      </c>
      <c r="L8" s="191"/>
      <c r="M8" s="127">
        <f>IF(F8=0,0,D8/F8)</f>
        <v>0.10648288195817338</v>
      </c>
    </row>
    <row r="9" spans="2:18" ht="15" thickBot="1" x14ac:dyDescent="0.35"/>
    <row r="10" spans="2:18" ht="16.2" thickBot="1" x14ac:dyDescent="0.35">
      <c r="B10" s="198" t="s">
        <v>49</v>
      </c>
      <c r="C10" s="199"/>
      <c r="D10" s="199"/>
      <c r="E10" s="199"/>
      <c r="F10" s="199"/>
      <c r="G10" s="200"/>
      <c r="I10" s="198" t="s">
        <v>51</v>
      </c>
      <c r="J10" s="199"/>
      <c r="K10" s="199"/>
      <c r="L10" s="199"/>
      <c r="M10" s="199"/>
      <c r="N10" s="199"/>
      <c r="O10" s="199"/>
      <c r="P10" s="199"/>
      <c r="Q10" s="199"/>
      <c r="R10" s="200"/>
    </row>
    <row r="11" spans="2:18" ht="6" customHeight="1" thickBot="1" x14ac:dyDescent="0.35"/>
    <row r="12" spans="2:18" ht="15" customHeight="1" x14ac:dyDescent="0.3">
      <c r="B12" s="169" t="s">
        <v>1</v>
      </c>
      <c r="C12" s="195"/>
      <c r="E12" s="169" t="s">
        <v>48</v>
      </c>
      <c r="F12" s="170"/>
      <c r="G12" s="195"/>
      <c r="I12" s="165" t="s">
        <v>0</v>
      </c>
      <c r="J12" s="165"/>
      <c r="K12" s="166"/>
      <c r="L12" s="169" t="s">
        <v>1</v>
      </c>
      <c r="M12" s="170"/>
      <c r="N12" s="169" t="s">
        <v>81</v>
      </c>
      <c r="O12" s="170"/>
      <c r="P12" s="181" t="s">
        <v>2</v>
      </c>
      <c r="Q12" s="131"/>
      <c r="R12" s="169" t="s">
        <v>3</v>
      </c>
    </row>
    <row r="13" spans="2:18" x14ac:dyDescent="0.3">
      <c r="B13" s="171"/>
      <c r="C13" s="196"/>
      <c r="E13" s="171"/>
      <c r="F13" s="172"/>
      <c r="G13" s="196"/>
      <c r="I13" s="167"/>
      <c r="J13" s="167"/>
      <c r="K13" s="168"/>
      <c r="L13" s="171"/>
      <c r="M13" s="172"/>
      <c r="N13" s="171"/>
      <c r="O13" s="172"/>
      <c r="P13" s="182"/>
      <c r="Q13" s="134"/>
      <c r="R13" s="171"/>
    </row>
    <row r="14" spans="2:18" x14ac:dyDescent="0.3">
      <c r="B14" s="64" t="s">
        <v>5</v>
      </c>
      <c r="C14" s="113">
        <v>226274</v>
      </c>
      <c r="E14" s="137" t="s">
        <v>14</v>
      </c>
      <c r="F14" s="14" t="s">
        <v>15</v>
      </c>
      <c r="G14" s="71">
        <v>0</v>
      </c>
      <c r="I14" s="205" t="s">
        <v>4</v>
      </c>
      <c r="J14" s="205" t="s">
        <v>5</v>
      </c>
      <c r="K14" s="1" t="s">
        <v>6</v>
      </c>
      <c r="L14" s="116">
        <f>C14/2</f>
        <v>113137</v>
      </c>
      <c r="M14" s="2" t="s">
        <v>7</v>
      </c>
      <c r="N14" s="3">
        <v>5.67E-2</v>
      </c>
      <c r="O14" s="1" t="s">
        <v>8</v>
      </c>
      <c r="P14" s="3">
        <f>C24</f>
        <v>0</v>
      </c>
      <c r="Q14" s="4" t="s">
        <v>8</v>
      </c>
      <c r="R14" s="5">
        <f>$L14*($N14+P14)</f>
        <v>6414.8679000000002</v>
      </c>
    </row>
    <row r="15" spans="2:18" x14ac:dyDescent="0.3">
      <c r="B15" s="56" t="s">
        <v>10</v>
      </c>
      <c r="C15" s="90">
        <v>572548</v>
      </c>
      <c r="E15" s="137"/>
      <c r="F15" s="6" t="s">
        <v>18</v>
      </c>
      <c r="G15" s="68">
        <v>0</v>
      </c>
      <c r="I15" s="180"/>
      <c r="J15" s="149"/>
      <c r="K15" s="6" t="s">
        <v>9</v>
      </c>
      <c r="L15" s="77">
        <f>C14/2</f>
        <v>113137</v>
      </c>
      <c r="M15" s="8" t="s">
        <v>7</v>
      </c>
      <c r="N15" s="9">
        <v>5.6399999999999999E-2</v>
      </c>
      <c r="O15" s="6" t="s">
        <v>8</v>
      </c>
      <c r="P15" s="9">
        <f>C24</f>
        <v>0</v>
      </c>
      <c r="Q15" s="10" t="s">
        <v>8</v>
      </c>
      <c r="R15" s="11">
        <f t="shared" ref="R15:R21" si="0">$L15*($N15+P15)</f>
        <v>6380.9268000000002</v>
      </c>
    </row>
    <row r="16" spans="2:18" x14ac:dyDescent="0.3">
      <c r="B16" s="56" t="s">
        <v>11</v>
      </c>
      <c r="C16" s="90">
        <v>307012</v>
      </c>
      <c r="E16" s="194"/>
      <c r="F16" s="6" t="s">
        <v>19</v>
      </c>
      <c r="G16" s="68">
        <v>0</v>
      </c>
      <c r="I16" s="180"/>
      <c r="J16" s="180" t="s">
        <v>10</v>
      </c>
      <c r="K16" s="6" t="s">
        <v>6</v>
      </c>
      <c r="L16" s="77">
        <f>C15/2</f>
        <v>286274</v>
      </c>
      <c r="M16" s="8" t="s">
        <v>7</v>
      </c>
      <c r="N16" s="9">
        <v>4.07E-2</v>
      </c>
      <c r="O16" s="6" t="s">
        <v>8</v>
      </c>
      <c r="P16" s="9">
        <f>C25</f>
        <v>0</v>
      </c>
      <c r="Q16" s="10" t="s">
        <v>8</v>
      </c>
      <c r="R16" s="11">
        <f t="shared" si="0"/>
        <v>11651.3518</v>
      </c>
    </row>
    <row r="17" spans="2:21" x14ac:dyDescent="0.3">
      <c r="B17" s="65" t="s">
        <v>12</v>
      </c>
      <c r="C17" s="90">
        <v>196945.99</v>
      </c>
      <c r="E17" s="67" t="s">
        <v>20</v>
      </c>
      <c r="F17" s="66"/>
      <c r="G17" s="69">
        <v>0</v>
      </c>
      <c r="I17" s="180"/>
      <c r="J17" s="180"/>
      <c r="K17" s="6" t="s">
        <v>9</v>
      </c>
      <c r="L17" s="77">
        <f>C15/2</f>
        <v>286274</v>
      </c>
      <c r="M17" s="8" t="s">
        <v>7</v>
      </c>
      <c r="N17" s="9">
        <v>4.0399999999999998E-2</v>
      </c>
      <c r="O17" s="6" t="s">
        <v>8</v>
      </c>
      <c r="P17" s="9">
        <f>C25</f>
        <v>0</v>
      </c>
      <c r="Q17" s="10" t="s">
        <v>8</v>
      </c>
      <c r="R17" s="11">
        <f t="shared" si="0"/>
        <v>11565.4696</v>
      </c>
    </row>
    <row r="18" spans="2:21" x14ac:dyDescent="0.3">
      <c r="I18" s="180"/>
      <c r="J18" s="176" t="s">
        <v>11</v>
      </c>
      <c r="K18" s="6" t="s">
        <v>6</v>
      </c>
      <c r="L18" s="77">
        <f>C16/2</f>
        <v>153506</v>
      </c>
      <c r="M18" s="8" t="s">
        <v>7</v>
      </c>
      <c r="N18" s="9">
        <v>1.46E-2</v>
      </c>
      <c r="O18" s="6" t="s">
        <v>8</v>
      </c>
      <c r="P18" s="9">
        <f>C26</f>
        <v>0</v>
      </c>
      <c r="Q18" s="10" t="s">
        <v>8</v>
      </c>
      <c r="R18" s="11">
        <f t="shared" si="0"/>
        <v>2241.1876000000002</v>
      </c>
    </row>
    <row r="19" spans="2:21" x14ac:dyDescent="0.3">
      <c r="B19" s="73" t="s">
        <v>21</v>
      </c>
      <c r="C19" s="201">
        <v>178.58</v>
      </c>
      <c r="E19" s="150" t="s">
        <v>54</v>
      </c>
      <c r="F19" s="151"/>
      <c r="G19" s="152">
        <v>2</v>
      </c>
      <c r="I19" s="180"/>
      <c r="J19" s="206"/>
      <c r="K19" s="6" t="s">
        <v>9</v>
      </c>
      <c r="L19" s="77">
        <f>C16/2</f>
        <v>153506</v>
      </c>
      <c r="M19" s="8" t="s">
        <v>7</v>
      </c>
      <c r="N19" s="9">
        <v>1.4500000000000001E-2</v>
      </c>
      <c r="O19" s="6" t="s">
        <v>8</v>
      </c>
      <c r="P19" s="9">
        <f>C26</f>
        <v>0</v>
      </c>
      <c r="Q19" s="10" t="s">
        <v>8</v>
      </c>
      <c r="R19" s="11">
        <f t="shared" si="0"/>
        <v>2225.837</v>
      </c>
    </row>
    <row r="20" spans="2:21" x14ac:dyDescent="0.3">
      <c r="B20" s="72" t="s">
        <v>53</v>
      </c>
      <c r="C20" s="202"/>
      <c r="E20" s="154" t="s">
        <v>55</v>
      </c>
      <c r="F20" s="155"/>
      <c r="G20" s="153"/>
      <c r="I20" s="180"/>
      <c r="J20" s="180" t="s">
        <v>12</v>
      </c>
      <c r="K20" s="6" t="s">
        <v>6</v>
      </c>
      <c r="L20" s="77">
        <f>C17/2</f>
        <v>98472.994999999995</v>
      </c>
      <c r="M20" s="8" t="s">
        <v>7</v>
      </c>
      <c r="N20" s="9">
        <v>1.4E-2</v>
      </c>
      <c r="O20" s="6" t="s">
        <v>8</v>
      </c>
      <c r="P20" s="9">
        <f>C27</f>
        <v>0</v>
      </c>
      <c r="Q20" s="10" t="s">
        <v>8</v>
      </c>
      <c r="R20" s="11">
        <f t="shared" si="0"/>
        <v>1378.62193</v>
      </c>
    </row>
    <row r="21" spans="2:21" ht="15" thickBot="1" x14ac:dyDescent="0.35">
      <c r="I21" s="149"/>
      <c r="J21" s="149"/>
      <c r="K21" s="6" t="s">
        <v>9</v>
      </c>
      <c r="L21" s="77">
        <f>C17/2</f>
        <v>98472.994999999995</v>
      </c>
      <c r="M21" s="8" t="s">
        <v>7</v>
      </c>
      <c r="N21" s="9">
        <v>1.41E-2</v>
      </c>
      <c r="O21" s="6" t="s">
        <v>8</v>
      </c>
      <c r="P21" s="9">
        <f>C27</f>
        <v>0</v>
      </c>
      <c r="Q21" s="10" t="s">
        <v>8</v>
      </c>
      <c r="R21" s="18">
        <f t="shared" si="0"/>
        <v>1388.4692295</v>
      </c>
      <c r="U21" s="63"/>
    </row>
    <row r="22" spans="2:21" x14ac:dyDescent="0.3">
      <c r="B22" s="129" t="s">
        <v>2</v>
      </c>
      <c r="C22" s="131"/>
      <c r="E22" s="150" t="s">
        <v>76</v>
      </c>
      <c r="F22" s="151"/>
      <c r="G22" s="152">
        <v>24</v>
      </c>
      <c r="I22" s="145" t="s">
        <v>13</v>
      </c>
      <c r="J22" s="145" t="s">
        <v>14</v>
      </c>
      <c r="K22" s="6" t="s">
        <v>15</v>
      </c>
      <c r="L22" s="7">
        <f>G14</f>
        <v>0</v>
      </c>
      <c r="M22" s="8" t="s">
        <v>16</v>
      </c>
      <c r="N22" s="9">
        <f>N23*0.33</f>
        <v>8.3160000000000005E-3</v>
      </c>
      <c r="O22" s="8" t="s">
        <v>17</v>
      </c>
      <c r="P22" s="34"/>
      <c r="Q22" s="13"/>
      <c r="R22" s="18">
        <f t="shared" ref="R22:R25" si="1">$L22*($N22)</f>
        <v>0</v>
      </c>
    </row>
    <row r="23" spans="2:21" x14ac:dyDescent="0.3">
      <c r="B23" s="132"/>
      <c r="C23" s="134"/>
      <c r="E23" s="154" t="s">
        <v>55</v>
      </c>
      <c r="F23" s="155"/>
      <c r="G23" s="153"/>
      <c r="I23" s="180"/>
      <c r="J23" s="180"/>
      <c r="K23" s="6" t="s">
        <v>18</v>
      </c>
      <c r="L23" s="7">
        <f>G15</f>
        <v>0</v>
      </c>
      <c r="M23" s="8" t="s">
        <v>16</v>
      </c>
      <c r="N23" s="9">
        <v>2.52E-2</v>
      </c>
      <c r="O23" s="8" t="s">
        <v>17</v>
      </c>
      <c r="P23" s="34"/>
      <c r="Q23" s="13"/>
      <c r="R23" s="18">
        <f t="shared" si="1"/>
        <v>0</v>
      </c>
    </row>
    <row r="24" spans="2:21" x14ac:dyDescent="0.3">
      <c r="B24" s="64" t="s">
        <v>5</v>
      </c>
      <c r="C24" s="118">
        <f>'Lote 3 MT'!B4</f>
        <v>0</v>
      </c>
      <c r="I24" s="180"/>
      <c r="J24" s="149"/>
      <c r="K24" s="6" t="s">
        <v>19</v>
      </c>
      <c r="L24" s="7">
        <f>G16</f>
        <v>0</v>
      </c>
      <c r="M24" s="8" t="s">
        <v>16</v>
      </c>
      <c r="N24" s="9">
        <f>N23*3</f>
        <v>7.5600000000000001E-2</v>
      </c>
      <c r="O24" s="8" t="s">
        <v>17</v>
      </c>
      <c r="P24" s="34"/>
      <c r="Q24" s="13"/>
      <c r="R24" s="18">
        <f t="shared" si="1"/>
        <v>0</v>
      </c>
    </row>
    <row r="25" spans="2:21" x14ac:dyDescent="0.3">
      <c r="B25" s="56" t="s">
        <v>10</v>
      </c>
      <c r="C25" s="118">
        <f>'Lote 3 MT'!B5</f>
        <v>0</v>
      </c>
      <c r="I25" s="149"/>
      <c r="J25" s="14" t="s">
        <v>20</v>
      </c>
      <c r="K25" s="14"/>
      <c r="L25" s="7">
        <f>G17</f>
        <v>0</v>
      </c>
      <c r="M25" s="15" t="s">
        <v>16</v>
      </c>
      <c r="N25" s="16">
        <v>1.89E-2</v>
      </c>
      <c r="O25" s="15" t="s">
        <v>17</v>
      </c>
      <c r="P25" s="44"/>
      <c r="Q25" s="17"/>
      <c r="R25" s="18">
        <f t="shared" si="1"/>
        <v>0</v>
      </c>
    </row>
    <row r="26" spans="2:21" x14ac:dyDescent="0.3">
      <c r="B26" s="56" t="s">
        <v>11</v>
      </c>
      <c r="C26" s="118">
        <f>'Lote 3 MT'!B6</f>
        <v>0</v>
      </c>
      <c r="I26" s="6" t="s">
        <v>21</v>
      </c>
      <c r="J26" s="102" t="s">
        <v>77</v>
      </c>
      <c r="K26" s="103">
        <f>G22</f>
        <v>24</v>
      </c>
      <c r="L26" s="7">
        <f>C19*G22</f>
        <v>4285.92</v>
      </c>
      <c r="M26" s="8" t="s">
        <v>22</v>
      </c>
      <c r="N26" s="19">
        <v>0.93700000000000006</v>
      </c>
      <c r="O26" s="20" t="s">
        <v>23</v>
      </c>
      <c r="P26" s="34"/>
      <c r="Q26" s="13"/>
      <c r="R26" s="18">
        <f>$L26*($N26)</f>
        <v>4015.9070400000005</v>
      </c>
    </row>
    <row r="27" spans="2:21" x14ac:dyDescent="0.3">
      <c r="B27" s="65" t="s">
        <v>12</v>
      </c>
      <c r="C27" s="118">
        <f>'Lote 3 MT'!B7</f>
        <v>0</v>
      </c>
      <c r="I27" t="s">
        <v>62</v>
      </c>
      <c r="J27" s="102" t="s">
        <v>77</v>
      </c>
      <c r="K27" s="103">
        <f>G22</f>
        <v>24</v>
      </c>
      <c r="L27" s="21">
        <f>((L14+L15)/(962*2))*G22</f>
        <v>2822.5446985446988</v>
      </c>
      <c r="M27" s="22" t="s">
        <v>22</v>
      </c>
      <c r="N27" s="23">
        <v>5.2359999999999998</v>
      </c>
      <c r="O27" s="24" t="s">
        <v>23</v>
      </c>
      <c r="P27" s="35"/>
      <c r="Q27" s="26"/>
      <c r="R27" s="18">
        <f>$L27*($N27)</f>
        <v>14778.844041580041</v>
      </c>
    </row>
    <row r="28" spans="2:21" x14ac:dyDescent="0.3">
      <c r="I28" s="27"/>
      <c r="J28" s="27"/>
      <c r="K28" s="27"/>
      <c r="L28" s="28"/>
      <c r="M28" s="29"/>
      <c r="N28" s="28"/>
      <c r="O28" s="27"/>
      <c r="P28" s="30"/>
      <c r="Q28" s="31" t="s">
        <v>24</v>
      </c>
      <c r="R28" s="32">
        <f>SUM(R14:R27)</f>
        <v>62041.482941080038</v>
      </c>
    </row>
    <row r="29" spans="2:21" x14ac:dyDescent="0.3">
      <c r="I29" t="s">
        <v>47</v>
      </c>
      <c r="L29" s="21">
        <f>SUM(L14:L21)</f>
        <v>1302779.9900000002</v>
      </c>
      <c r="M29" s="22" t="s">
        <v>7</v>
      </c>
      <c r="N29" s="33">
        <v>1E-3</v>
      </c>
      <c r="O29" t="s">
        <v>8</v>
      </c>
      <c r="P29" s="25"/>
      <c r="Q29" s="26"/>
      <c r="R29" s="18">
        <f>L29*N29</f>
        <v>1302.7799900000002</v>
      </c>
    </row>
    <row r="30" spans="2:21" x14ac:dyDescent="0.3">
      <c r="I30" s="6" t="s">
        <v>50</v>
      </c>
      <c r="J30" s="102" t="s">
        <v>77</v>
      </c>
      <c r="K30" s="103">
        <f>G22</f>
        <v>24</v>
      </c>
      <c r="L30" s="77">
        <f>G19*G22</f>
        <v>48</v>
      </c>
      <c r="M30" s="8" t="s">
        <v>60</v>
      </c>
      <c r="N30" s="76">
        <v>2.85</v>
      </c>
      <c r="O30" s="20" t="s">
        <v>34</v>
      </c>
      <c r="P30" s="12"/>
      <c r="Q30" s="13"/>
      <c r="R30" s="18">
        <f t="shared" ref="R30" si="2">L30*N30</f>
        <v>136.80000000000001</v>
      </c>
    </row>
    <row r="31" spans="2:21" ht="15" thickBot="1" x14ac:dyDescent="0.35">
      <c r="I31" s="36"/>
      <c r="J31" s="36"/>
      <c r="K31" s="36"/>
      <c r="L31" s="37"/>
      <c r="M31" s="37"/>
      <c r="N31" s="37">
        <v>0</v>
      </c>
      <c r="O31" s="36" t="s">
        <v>25</v>
      </c>
      <c r="P31" s="38"/>
      <c r="Q31" s="39"/>
      <c r="R31" s="40">
        <f>R28+R29+R30</f>
        <v>63481.062931080043</v>
      </c>
    </row>
    <row r="32" spans="2:21" ht="9" customHeight="1" x14ac:dyDescent="0.3"/>
    <row r="33" spans="2:18" ht="15.75" customHeight="1" thickBot="1" x14ac:dyDescent="0.35">
      <c r="I33" s="78" t="s">
        <v>66</v>
      </c>
      <c r="J33" s="142" t="s">
        <v>64</v>
      </c>
      <c r="K33" s="142"/>
      <c r="L33" s="142" t="s">
        <v>63</v>
      </c>
      <c r="M33" s="142"/>
      <c r="N33" s="142" t="s">
        <v>67</v>
      </c>
      <c r="O33" s="142"/>
      <c r="P33" s="142" t="s">
        <v>65</v>
      </c>
      <c r="Q33" s="142"/>
      <c r="R33" s="78" t="s">
        <v>68</v>
      </c>
    </row>
    <row r="34" spans="2:18" ht="15" thickBot="1" x14ac:dyDescent="0.35">
      <c r="I34" s="128">
        <f>SUM(L14:L21)</f>
        <v>1302779.9900000002</v>
      </c>
      <c r="J34" s="139">
        <f>SUMPRODUCT(C14:C17,C24:C27)</f>
        <v>0</v>
      </c>
      <c r="K34" s="139"/>
      <c r="L34" s="139">
        <f>SUMPRODUCT(L14:L27,N14:N27)</f>
        <v>62041.482941080038</v>
      </c>
      <c r="M34" s="139"/>
      <c r="N34" s="139">
        <f>SUMPRODUCT(L29:L30,N29:N30)</f>
        <v>1439.5799900000002</v>
      </c>
      <c r="O34" s="139"/>
      <c r="P34" s="139">
        <f>J34+L34+N34</f>
        <v>63481.062931080036</v>
      </c>
      <c r="Q34" s="139"/>
      <c r="R34" s="79">
        <f>IF(I34=0,0,P34/I34)</f>
        <v>4.8727385604901731E-2</v>
      </c>
    </row>
    <row r="35" spans="2:18" ht="15.75" customHeight="1" x14ac:dyDescent="0.3">
      <c r="I35" s="80"/>
      <c r="J35" s="81"/>
      <c r="K35" s="81"/>
      <c r="L35" s="81"/>
      <c r="M35" s="81"/>
      <c r="N35" s="81"/>
      <c r="O35" s="81"/>
      <c r="P35" s="81"/>
      <c r="Q35" s="81"/>
      <c r="R35" s="82"/>
    </row>
    <row r="36" spans="2:18" ht="15.75" customHeight="1" thickBot="1" x14ac:dyDescent="0.35"/>
    <row r="37" spans="2:18" ht="16.2" thickBot="1" x14ac:dyDescent="0.35">
      <c r="B37" s="198" t="s">
        <v>61</v>
      </c>
      <c r="C37" s="199"/>
      <c r="D37" s="199"/>
      <c r="E37" s="199"/>
      <c r="F37" s="199"/>
      <c r="G37" s="200"/>
      <c r="I37" s="198" t="s">
        <v>52</v>
      </c>
      <c r="J37" s="199"/>
      <c r="K37" s="199"/>
      <c r="L37" s="199"/>
      <c r="M37" s="199"/>
      <c r="N37" s="199"/>
      <c r="O37" s="199"/>
      <c r="P37" s="199"/>
      <c r="Q37" s="199"/>
      <c r="R37" s="200"/>
    </row>
    <row r="38" spans="2:18" ht="6" customHeight="1" thickBot="1" x14ac:dyDescent="0.35">
      <c r="I38" s="70"/>
      <c r="J38" s="70"/>
      <c r="K38" s="70"/>
      <c r="L38" s="70"/>
      <c r="M38" s="70"/>
      <c r="N38" s="70"/>
      <c r="O38" s="70"/>
      <c r="P38" s="70"/>
      <c r="Q38" s="70"/>
      <c r="R38" s="70"/>
    </row>
    <row r="39" spans="2:18" ht="15" customHeight="1" x14ac:dyDescent="0.3">
      <c r="B39" s="169" t="s">
        <v>1</v>
      </c>
      <c r="C39" s="195"/>
      <c r="E39" s="169" t="s">
        <v>48</v>
      </c>
      <c r="F39" s="170"/>
      <c r="G39" s="195"/>
      <c r="I39" s="165" t="s">
        <v>0</v>
      </c>
      <c r="J39" s="165"/>
      <c r="K39" s="166"/>
      <c r="L39" s="169" t="s">
        <v>1</v>
      </c>
      <c r="M39" s="170"/>
      <c r="N39" s="129" t="s">
        <v>81</v>
      </c>
      <c r="O39" s="131"/>
      <c r="P39" s="181" t="s">
        <v>2</v>
      </c>
      <c r="Q39" s="130"/>
      <c r="R39" s="169" t="s">
        <v>3</v>
      </c>
    </row>
    <row r="40" spans="2:18" x14ac:dyDescent="0.3">
      <c r="B40" s="171"/>
      <c r="C40" s="196"/>
      <c r="E40" s="171"/>
      <c r="F40" s="172"/>
      <c r="G40" s="196"/>
      <c r="I40" s="167"/>
      <c r="J40" s="167"/>
      <c r="K40" s="168"/>
      <c r="L40" s="171"/>
      <c r="M40" s="172"/>
      <c r="N40" s="132"/>
      <c r="O40" s="134"/>
      <c r="P40" s="182"/>
      <c r="Q40" s="133"/>
      <c r="R40" s="171"/>
    </row>
    <row r="41" spans="2:18" x14ac:dyDescent="0.3">
      <c r="B41" s="64" t="s">
        <v>5</v>
      </c>
      <c r="C41" s="113">
        <v>213294</v>
      </c>
      <c r="E41" s="197" t="s">
        <v>14</v>
      </c>
      <c r="F41" s="6" t="s">
        <v>15</v>
      </c>
      <c r="G41" s="68">
        <v>0</v>
      </c>
      <c r="I41" s="205" t="s">
        <v>4</v>
      </c>
      <c r="J41" s="205" t="s">
        <v>5</v>
      </c>
      <c r="K41" s="1" t="s">
        <v>6</v>
      </c>
      <c r="L41" s="116">
        <f>C41/2</f>
        <v>106647</v>
      </c>
      <c r="M41" s="2" t="s">
        <v>7</v>
      </c>
      <c r="N41" s="3">
        <v>8.4599999999999995E-2</v>
      </c>
      <c r="O41" s="4" t="s">
        <v>8</v>
      </c>
      <c r="P41" s="3">
        <f>C51</f>
        <v>0</v>
      </c>
      <c r="Q41" s="1" t="s">
        <v>8</v>
      </c>
      <c r="R41" s="11">
        <f>$L41*($N41+P41)</f>
        <v>9022.3361999999997</v>
      </c>
    </row>
    <row r="42" spans="2:18" x14ac:dyDescent="0.3">
      <c r="B42" s="56" t="s">
        <v>10</v>
      </c>
      <c r="C42" s="90">
        <v>509584</v>
      </c>
      <c r="E42" s="137"/>
      <c r="F42" s="6" t="s">
        <v>18</v>
      </c>
      <c r="G42" s="68">
        <v>0</v>
      </c>
      <c r="I42" s="180"/>
      <c r="J42" s="149"/>
      <c r="K42" s="6" t="s">
        <v>9</v>
      </c>
      <c r="L42" s="77">
        <f>C41/2</f>
        <v>106647</v>
      </c>
      <c r="M42" s="8" t="s">
        <v>7</v>
      </c>
      <c r="N42" s="9">
        <v>8.3799999999999999E-2</v>
      </c>
      <c r="O42" s="10" t="s">
        <v>8</v>
      </c>
      <c r="P42" s="9">
        <f>C51</f>
        <v>0</v>
      </c>
      <c r="Q42" s="6" t="s">
        <v>8</v>
      </c>
      <c r="R42" s="11">
        <f t="shared" ref="R42:R48" si="3">$L42*($N42+P42)</f>
        <v>8937.0185999999994</v>
      </c>
    </row>
    <row r="43" spans="2:18" x14ac:dyDescent="0.3">
      <c r="B43" s="56" t="s">
        <v>11</v>
      </c>
      <c r="C43" s="90">
        <v>269224</v>
      </c>
      <c r="E43" s="194"/>
      <c r="F43" s="6" t="s">
        <v>19</v>
      </c>
      <c r="G43" s="68">
        <v>0</v>
      </c>
      <c r="I43" s="180"/>
      <c r="J43" s="180" t="s">
        <v>10</v>
      </c>
      <c r="K43" s="6" t="s">
        <v>6</v>
      </c>
      <c r="L43" s="77">
        <f>C42/2</f>
        <v>254792</v>
      </c>
      <c r="M43" s="8" t="s">
        <v>7</v>
      </c>
      <c r="N43" s="9">
        <v>5.5E-2</v>
      </c>
      <c r="O43" s="10" t="s">
        <v>8</v>
      </c>
      <c r="P43" s="9">
        <f>C52</f>
        <v>0</v>
      </c>
      <c r="Q43" s="6" t="s">
        <v>8</v>
      </c>
      <c r="R43" s="11">
        <f t="shared" si="3"/>
        <v>14013.56</v>
      </c>
    </row>
    <row r="44" spans="2:18" x14ac:dyDescent="0.3">
      <c r="B44" s="65" t="s">
        <v>12</v>
      </c>
      <c r="C44" s="91">
        <v>171257</v>
      </c>
      <c r="E44" s="67" t="s">
        <v>20</v>
      </c>
      <c r="F44" s="66"/>
      <c r="G44" s="69">
        <v>0</v>
      </c>
      <c r="I44" s="180"/>
      <c r="J44" s="180"/>
      <c r="K44" s="6" t="s">
        <v>9</v>
      </c>
      <c r="L44" s="77">
        <f>C42/2</f>
        <v>254792</v>
      </c>
      <c r="M44" s="8" t="s">
        <v>7</v>
      </c>
      <c r="N44" s="9">
        <v>5.4600000000000003E-2</v>
      </c>
      <c r="O44" s="10" t="s">
        <v>8</v>
      </c>
      <c r="P44" s="9">
        <f>C52</f>
        <v>0</v>
      </c>
      <c r="Q44" s="6" t="s">
        <v>8</v>
      </c>
      <c r="R44" s="18">
        <f t="shared" si="3"/>
        <v>13911.6432</v>
      </c>
    </row>
    <row r="45" spans="2:18" x14ac:dyDescent="0.3">
      <c r="I45" s="180"/>
      <c r="J45" s="176" t="s">
        <v>11</v>
      </c>
      <c r="K45" s="6" t="s">
        <v>6</v>
      </c>
      <c r="L45" s="77">
        <f>C43/2</f>
        <v>134612</v>
      </c>
      <c r="M45" s="8" t="s">
        <v>7</v>
      </c>
      <c r="N45" s="9">
        <v>2.0899999999999998E-2</v>
      </c>
      <c r="O45" s="10" t="s">
        <v>8</v>
      </c>
      <c r="P45" s="9">
        <f>C53</f>
        <v>0</v>
      </c>
      <c r="Q45" s="6" t="s">
        <v>8</v>
      </c>
      <c r="R45" s="18">
        <f t="shared" si="3"/>
        <v>2813.3907999999997</v>
      </c>
    </row>
    <row r="46" spans="2:18" x14ac:dyDescent="0.3">
      <c r="B46" s="73" t="s">
        <v>21</v>
      </c>
      <c r="C46" s="201">
        <v>404.82</v>
      </c>
      <c r="E46" s="150" t="s">
        <v>54</v>
      </c>
      <c r="F46" s="151"/>
      <c r="G46" s="152">
        <v>7</v>
      </c>
      <c r="I46" s="180"/>
      <c r="J46" s="206"/>
      <c r="K46" s="6" t="s">
        <v>9</v>
      </c>
      <c r="L46" s="77">
        <f>C43/2</f>
        <v>134612</v>
      </c>
      <c r="M46" s="8" t="s">
        <v>7</v>
      </c>
      <c r="N46" s="9">
        <v>2.0400000000000001E-2</v>
      </c>
      <c r="O46" s="10" t="s">
        <v>8</v>
      </c>
      <c r="P46" s="9">
        <f>C53</f>
        <v>0</v>
      </c>
      <c r="Q46" s="6" t="s">
        <v>8</v>
      </c>
      <c r="R46" s="18">
        <f t="shared" si="3"/>
        <v>2746.0848000000001</v>
      </c>
    </row>
    <row r="47" spans="2:18" x14ac:dyDescent="0.3">
      <c r="B47" s="72" t="s">
        <v>53</v>
      </c>
      <c r="C47" s="202"/>
      <c r="E47" s="74" t="s">
        <v>56</v>
      </c>
      <c r="F47" s="75" t="s">
        <v>57</v>
      </c>
      <c r="G47" s="153"/>
      <c r="I47" s="180"/>
      <c r="J47" s="180" t="s">
        <v>12</v>
      </c>
      <c r="K47" s="6" t="s">
        <v>6</v>
      </c>
      <c r="L47" s="77">
        <f>C44/2</f>
        <v>85628.5</v>
      </c>
      <c r="M47" s="8" t="s">
        <v>7</v>
      </c>
      <c r="N47" s="9">
        <v>1.8599999999999998E-2</v>
      </c>
      <c r="O47" s="10" t="s">
        <v>8</v>
      </c>
      <c r="P47" s="9">
        <f>C54</f>
        <v>0</v>
      </c>
      <c r="Q47" s="6" t="s">
        <v>8</v>
      </c>
      <c r="R47" s="18">
        <f t="shared" si="3"/>
        <v>1592.6900999999998</v>
      </c>
    </row>
    <row r="48" spans="2:18" ht="15" thickBot="1" x14ac:dyDescent="0.35">
      <c r="I48" s="149"/>
      <c r="J48" s="149"/>
      <c r="K48" s="6" t="s">
        <v>9</v>
      </c>
      <c r="L48" s="77">
        <f>C44/2</f>
        <v>85628.5</v>
      </c>
      <c r="M48" s="8" t="s">
        <v>7</v>
      </c>
      <c r="N48" s="9">
        <v>1.8700000000000001E-2</v>
      </c>
      <c r="O48" s="10" t="s">
        <v>8</v>
      </c>
      <c r="P48" s="9">
        <f>C54</f>
        <v>0</v>
      </c>
      <c r="Q48" s="6" t="s">
        <v>8</v>
      </c>
      <c r="R48" s="18">
        <f t="shared" si="3"/>
        <v>1601.2529500000001</v>
      </c>
    </row>
    <row r="49" spans="2:18" x14ac:dyDescent="0.3">
      <c r="B49" s="129" t="s">
        <v>58</v>
      </c>
      <c r="C49" s="131"/>
      <c r="E49" s="150" t="s">
        <v>76</v>
      </c>
      <c r="F49" s="151"/>
      <c r="G49" s="152">
        <v>24</v>
      </c>
      <c r="I49" s="145" t="s">
        <v>13</v>
      </c>
      <c r="J49" s="145" t="s">
        <v>14</v>
      </c>
      <c r="K49" s="6" t="s">
        <v>15</v>
      </c>
      <c r="L49" s="7">
        <f>G41</f>
        <v>0</v>
      </c>
      <c r="M49" s="8" t="s">
        <v>16</v>
      </c>
      <c r="N49" s="9">
        <f>N50*0.33</f>
        <v>9.9000000000000008E-3</v>
      </c>
      <c r="O49" s="41" t="s">
        <v>17</v>
      </c>
      <c r="P49" s="34"/>
      <c r="Q49" s="42"/>
      <c r="R49" s="18">
        <f>$L49*($N49)</f>
        <v>0</v>
      </c>
    </row>
    <row r="50" spans="2:18" x14ac:dyDescent="0.3">
      <c r="B50" s="132"/>
      <c r="C50" s="134"/>
      <c r="E50" s="154" t="s">
        <v>56</v>
      </c>
      <c r="F50" s="155"/>
      <c r="G50" s="153"/>
      <c r="I50" s="180"/>
      <c r="J50" s="180"/>
      <c r="K50" s="6" t="s">
        <v>18</v>
      </c>
      <c r="L50" s="7">
        <f>G42</f>
        <v>0</v>
      </c>
      <c r="M50" s="8" t="s">
        <v>16</v>
      </c>
      <c r="N50" s="9">
        <v>0.03</v>
      </c>
      <c r="O50" s="41" t="s">
        <v>17</v>
      </c>
      <c r="P50" s="34"/>
      <c r="Q50" s="42"/>
      <c r="R50" s="18">
        <f t="shared" ref="R50:R52" si="4">$L50*($N50)</f>
        <v>0</v>
      </c>
    </row>
    <row r="51" spans="2:18" x14ac:dyDescent="0.3">
      <c r="B51" s="64" t="s">
        <v>5</v>
      </c>
      <c r="C51" s="118">
        <f>'Lote 2 BTE'!B4</f>
        <v>0</v>
      </c>
      <c r="I51" s="180"/>
      <c r="J51" s="149"/>
      <c r="K51" s="6" t="s">
        <v>19</v>
      </c>
      <c r="L51" s="7">
        <f>G43</f>
        <v>0</v>
      </c>
      <c r="M51" s="8" t="s">
        <v>16</v>
      </c>
      <c r="N51" s="9">
        <f>N50*3</f>
        <v>0.09</v>
      </c>
      <c r="O51" s="41" t="s">
        <v>17</v>
      </c>
      <c r="P51" s="34"/>
      <c r="Q51" s="42"/>
      <c r="R51" s="18">
        <f t="shared" si="4"/>
        <v>0</v>
      </c>
    </row>
    <row r="52" spans="2:18" x14ac:dyDescent="0.3">
      <c r="B52" s="56" t="s">
        <v>10</v>
      </c>
      <c r="C52" s="118">
        <f>'Lote 2 BTE'!B5</f>
        <v>0</v>
      </c>
      <c r="E52" s="63"/>
      <c r="I52" s="149"/>
      <c r="J52" s="14" t="s">
        <v>20</v>
      </c>
      <c r="K52" s="14"/>
      <c r="L52" s="7">
        <f>G44</f>
        <v>0</v>
      </c>
      <c r="M52" s="15" t="s">
        <v>16</v>
      </c>
      <c r="N52" s="16">
        <v>2.2800000000000001E-2</v>
      </c>
      <c r="O52" s="43" t="s">
        <v>17</v>
      </c>
      <c r="P52" s="44"/>
      <c r="Q52" s="45"/>
      <c r="R52" s="18">
        <f t="shared" si="4"/>
        <v>0</v>
      </c>
    </row>
    <row r="53" spans="2:18" x14ac:dyDescent="0.3">
      <c r="B53" s="56" t="s">
        <v>11</v>
      </c>
      <c r="C53" s="118">
        <f>'Lote 2 BTE'!B6</f>
        <v>0</v>
      </c>
      <c r="I53" s="6" t="s">
        <v>21</v>
      </c>
      <c r="J53" s="102" t="s">
        <v>77</v>
      </c>
      <c r="K53" s="103">
        <f>G49</f>
        <v>24</v>
      </c>
      <c r="L53" s="7">
        <f>C46*G49</f>
        <v>9715.68</v>
      </c>
      <c r="M53" s="8" t="s">
        <v>22</v>
      </c>
      <c r="N53" s="19">
        <v>1.3049999999999999</v>
      </c>
      <c r="O53" s="46" t="s">
        <v>23</v>
      </c>
      <c r="P53" s="34"/>
      <c r="Q53" s="42"/>
      <c r="R53" s="18">
        <f>$L53*($N53)</f>
        <v>12678.9624</v>
      </c>
    </row>
    <row r="54" spans="2:18" x14ac:dyDescent="0.3">
      <c r="B54" s="65" t="s">
        <v>12</v>
      </c>
      <c r="C54" s="118">
        <f>'Lote 2 BTE'!B7</f>
        <v>0</v>
      </c>
      <c r="I54" t="s">
        <v>62</v>
      </c>
      <c r="K54" s="103">
        <f>G49</f>
        <v>24</v>
      </c>
      <c r="L54" s="21">
        <f>((L41+L42)/(1460*2))*G49</f>
        <v>1753.1013698630136</v>
      </c>
      <c r="M54" s="22" t="s">
        <v>22</v>
      </c>
      <c r="N54" s="23">
        <v>12.875</v>
      </c>
      <c r="O54" s="47" t="s">
        <v>23</v>
      </c>
      <c r="P54" s="48"/>
      <c r="Q54" s="49"/>
      <c r="R54" s="18">
        <f>$L54*($N54)</f>
        <v>22571.180136986299</v>
      </c>
    </row>
    <row r="55" spans="2:18" x14ac:dyDescent="0.3">
      <c r="I55" s="27"/>
      <c r="J55" s="27"/>
      <c r="K55" s="104"/>
      <c r="L55" s="28"/>
      <c r="M55" s="29"/>
      <c r="N55" s="28"/>
      <c r="O55" s="31"/>
      <c r="P55" s="28"/>
      <c r="Q55" s="27" t="s">
        <v>24</v>
      </c>
      <c r="R55" s="32">
        <f>SUM(R41:R54)</f>
        <v>89888.119186986296</v>
      </c>
    </row>
    <row r="56" spans="2:18" x14ac:dyDescent="0.3">
      <c r="I56" t="s">
        <v>47</v>
      </c>
      <c r="K56" s="105"/>
      <c r="L56" s="21">
        <f>SUM(L41:L48)</f>
        <v>1163359</v>
      </c>
      <c r="M56" s="22" t="s">
        <v>7</v>
      </c>
      <c r="N56" s="33">
        <v>1E-3</v>
      </c>
      <c r="O56" s="50" t="s">
        <v>8</v>
      </c>
      <c r="P56" s="48"/>
      <c r="Q56" s="49"/>
      <c r="R56" s="18">
        <f>L56*N56</f>
        <v>1163.3589999999999</v>
      </c>
    </row>
    <row r="57" spans="2:18" x14ac:dyDescent="0.3">
      <c r="I57" s="6" t="s">
        <v>50</v>
      </c>
      <c r="J57" s="102" t="s">
        <v>77</v>
      </c>
      <c r="K57" s="103">
        <f>G49</f>
        <v>24</v>
      </c>
      <c r="L57" s="77">
        <f>G46*G49</f>
        <v>168</v>
      </c>
      <c r="M57" s="8" t="s">
        <v>60</v>
      </c>
      <c r="N57" s="76">
        <v>2.85</v>
      </c>
      <c r="O57" s="20" t="s">
        <v>34</v>
      </c>
      <c r="P57" s="34"/>
      <c r="Q57" s="42"/>
      <c r="R57" s="18">
        <f t="shared" ref="R57" si="5">L57*N57</f>
        <v>478.8</v>
      </c>
    </row>
    <row r="58" spans="2:18" ht="15" thickBot="1" x14ac:dyDescent="0.35">
      <c r="I58" s="36"/>
      <c r="J58" s="36"/>
      <c r="K58" s="36"/>
      <c r="L58" s="37"/>
      <c r="M58" s="37"/>
      <c r="N58" s="37"/>
      <c r="O58" s="36" t="s">
        <v>26</v>
      </c>
      <c r="P58" s="51"/>
      <c r="Q58" s="37"/>
      <c r="R58" s="40">
        <f>R55+R56+R57</f>
        <v>91530.278186986296</v>
      </c>
    </row>
    <row r="59" spans="2:18" ht="9" customHeight="1" x14ac:dyDescent="0.3">
      <c r="I59" s="83"/>
      <c r="J59" s="83"/>
      <c r="K59" s="83"/>
      <c r="L59" s="84"/>
      <c r="M59" s="84"/>
      <c r="N59" s="84"/>
      <c r="O59" s="83"/>
      <c r="P59" s="84"/>
      <c r="Q59" s="84"/>
      <c r="R59" s="85"/>
    </row>
    <row r="60" spans="2:18" ht="15" thickBot="1" x14ac:dyDescent="0.35">
      <c r="I60" s="78" t="s">
        <v>66</v>
      </c>
      <c r="J60" s="142" t="s">
        <v>64</v>
      </c>
      <c r="K60" s="142"/>
      <c r="L60" s="142" t="s">
        <v>63</v>
      </c>
      <c r="M60" s="142"/>
      <c r="N60" s="142" t="s">
        <v>67</v>
      </c>
      <c r="O60" s="142"/>
      <c r="P60" s="142" t="s">
        <v>65</v>
      </c>
      <c r="Q60" s="142"/>
      <c r="R60" s="78" t="s">
        <v>68</v>
      </c>
    </row>
    <row r="61" spans="2:18" ht="15" thickBot="1" x14ac:dyDescent="0.35">
      <c r="I61" s="128">
        <f>SUM(L41:L48)</f>
        <v>1163359</v>
      </c>
      <c r="J61" s="139">
        <f>SUMPRODUCT(C41:C44,C51:C54)</f>
        <v>0</v>
      </c>
      <c r="K61" s="139"/>
      <c r="L61" s="139">
        <f>SUMPRODUCT(L41:L54,N41:N54)</f>
        <v>89888.119186986296</v>
      </c>
      <c r="M61" s="139"/>
      <c r="N61" s="139">
        <f>SUMPRODUCT(L56:L57,N56:N57)</f>
        <v>1642.1589999999999</v>
      </c>
      <c r="O61" s="139"/>
      <c r="P61" s="139">
        <f>J61+L61+N61</f>
        <v>91530.278186986296</v>
      </c>
      <c r="Q61" s="139"/>
      <c r="R61" s="79">
        <f>IF(I61=0,0,P61/I61)</f>
        <v>7.8677586357251972E-2</v>
      </c>
    </row>
    <row r="63" spans="2:18" ht="15" thickBot="1" x14ac:dyDescent="0.35"/>
    <row r="64" spans="2:18" ht="16.2" thickBot="1" x14ac:dyDescent="0.35">
      <c r="B64" s="198" t="s">
        <v>70</v>
      </c>
      <c r="C64" s="199"/>
      <c r="D64" s="199"/>
      <c r="E64" s="199"/>
      <c r="F64" s="199"/>
      <c r="G64" s="200"/>
      <c r="I64" s="198" t="s">
        <v>71</v>
      </c>
      <c r="J64" s="199"/>
      <c r="K64" s="199"/>
      <c r="L64" s="199"/>
      <c r="M64" s="199"/>
      <c r="N64" s="199"/>
      <c r="O64" s="199"/>
      <c r="P64" s="199"/>
      <c r="Q64" s="199"/>
      <c r="R64" s="200"/>
    </row>
    <row r="65" spans="2:18" ht="9" customHeight="1" thickBot="1" x14ac:dyDescent="0.35">
      <c r="B65" s="100"/>
      <c r="C65" s="100"/>
      <c r="D65" s="100"/>
      <c r="E65" s="100"/>
      <c r="F65" s="100"/>
      <c r="G65" s="100"/>
      <c r="I65" s="101"/>
      <c r="J65" s="101"/>
      <c r="K65" s="101"/>
      <c r="L65" s="101"/>
      <c r="M65" s="101"/>
      <c r="N65" s="101"/>
      <c r="O65" s="101"/>
      <c r="P65" s="101"/>
      <c r="Q65" s="101"/>
      <c r="R65" s="101"/>
    </row>
    <row r="66" spans="2:18" ht="15.75" customHeight="1" x14ac:dyDescent="0.3">
      <c r="B66" s="159" t="s">
        <v>1</v>
      </c>
      <c r="C66" s="160"/>
      <c r="D66" s="160"/>
      <c r="E66" s="160"/>
      <c r="F66" s="160"/>
      <c r="G66" s="161"/>
      <c r="I66" s="165" t="s">
        <v>0</v>
      </c>
      <c r="J66" s="165"/>
      <c r="K66" s="166"/>
      <c r="L66" s="169" t="s">
        <v>1</v>
      </c>
      <c r="M66" s="170"/>
      <c r="N66" s="129" t="s">
        <v>81</v>
      </c>
      <c r="O66" s="131"/>
      <c r="P66" s="181" t="s">
        <v>2</v>
      </c>
      <c r="Q66" s="130"/>
      <c r="R66" s="169" t="s">
        <v>3</v>
      </c>
    </row>
    <row r="67" spans="2:18" ht="15.75" customHeight="1" x14ac:dyDescent="0.3">
      <c r="B67" s="162"/>
      <c r="C67" s="163"/>
      <c r="D67" s="163"/>
      <c r="E67" s="163"/>
      <c r="F67" s="163"/>
      <c r="G67" s="164"/>
      <c r="I67" s="167"/>
      <c r="J67" s="167"/>
      <c r="K67" s="168"/>
      <c r="L67" s="171"/>
      <c r="M67" s="172"/>
      <c r="N67" s="132"/>
      <c r="O67" s="134"/>
      <c r="P67" s="182"/>
      <c r="Q67" s="133"/>
      <c r="R67" s="171"/>
    </row>
    <row r="68" spans="2:18" ht="15" customHeight="1" x14ac:dyDescent="0.3">
      <c r="B68" s="93" t="s">
        <v>4</v>
      </c>
      <c r="C68" s="107" t="s">
        <v>27</v>
      </c>
      <c r="D68" s="183" t="s">
        <v>78</v>
      </c>
      <c r="E68" s="184"/>
      <c r="F68" s="185"/>
      <c r="G68" s="113">
        <v>525979</v>
      </c>
      <c r="I68" s="62" t="s">
        <v>4</v>
      </c>
      <c r="J68" s="62" t="s">
        <v>27</v>
      </c>
      <c r="K68" s="108" t="s">
        <v>78</v>
      </c>
      <c r="L68" s="116">
        <f t="shared" ref="L68:L76" si="6">G68</f>
        <v>525979</v>
      </c>
      <c r="M68" s="4" t="s">
        <v>7</v>
      </c>
      <c r="N68" s="1">
        <v>7.2800000000000004E-2</v>
      </c>
      <c r="O68" s="1" t="s">
        <v>8</v>
      </c>
      <c r="P68" s="106">
        <f>G80</f>
        <v>0</v>
      </c>
      <c r="Q68" s="107" t="s">
        <v>8</v>
      </c>
      <c r="R68" s="52">
        <f>L68*(N68+P68)</f>
        <v>38291.271200000003</v>
      </c>
    </row>
    <row r="69" spans="2:18" x14ac:dyDescent="0.3">
      <c r="B69" s="135" t="s">
        <v>28</v>
      </c>
      <c r="C69" s="6" t="s">
        <v>29</v>
      </c>
      <c r="D69" s="186" t="s">
        <v>78</v>
      </c>
      <c r="E69" s="187"/>
      <c r="F69" s="188"/>
      <c r="G69" s="90">
        <v>1197</v>
      </c>
      <c r="I69" s="179" t="s">
        <v>28</v>
      </c>
      <c r="J69" s="6" t="s">
        <v>29</v>
      </c>
      <c r="K69" s="145" t="s">
        <v>78</v>
      </c>
      <c r="L69" s="117">
        <f t="shared" si="6"/>
        <v>1197</v>
      </c>
      <c r="M69" s="10" t="s">
        <v>7</v>
      </c>
      <c r="N69" s="6">
        <v>9.9900000000000003E-2</v>
      </c>
      <c r="O69" s="6" t="s">
        <v>8</v>
      </c>
      <c r="P69" s="98">
        <f>G81</f>
        <v>0</v>
      </c>
      <c r="Q69" s="10" t="s">
        <v>8</v>
      </c>
      <c r="R69" s="55">
        <f>L69*(N69+P69)</f>
        <v>119.58030000000001</v>
      </c>
    </row>
    <row r="70" spans="2:18" x14ac:dyDescent="0.3">
      <c r="B70" s="136"/>
      <c r="C70" s="14" t="s">
        <v>30</v>
      </c>
      <c r="D70" s="186"/>
      <c r="E70" s="187"/>
      <c r="F70" s="188"/>
      <c r="G70" s="114">
        <v>585</v>
      </c>
      <c r="I70" s="189"/>
      <c r="J70" s="14" t="s">
        <v>30</v>
      </c>
      <c r="K70" s="149"/>
      <c r="L70" s="117">
        <f t="shared" si="6"/>
        <v>585</v>
      </c>
      <c r="M70" s="53" t="s">
        <v>7</v>
      </c>
      <c r="N70" s="14">
        <v>3.1399999999999997E-2</v>
      </c>
      <c r="O70" s="6" t="s">
        <v>8</v>
      </c>
      <c r="P70" s="99">
        <f>G82</f>
        <v>0</v>
      </c>
      <c r="Q70" s="10" t="s">
        <v>8</v>
      </c>
      <c r="R70" s="54">
        <f>L70*(N70+P70)</f>
        <v>18.369</v>
      </c>
    </row>
    <row r="71" spans="2:18" ht="15" customHeight="1" x14ac:dyDescent="0.3">
      <c r="B71" s="135" t="s">
        <v>31</v>
      </c>
      <c r="C71" s="145" t="s">
        <v>5</v>
      </c>
      <c r="D71" s="156" t="s">
        <v>78</v>
      </c>
      <c r="E71" s="157"/>
      <c r="F71" s="158"/>
      <c r="G71" s="90">
        <v>20845</v>
      </c>
      <c r="I71" s="179" t="s">
        <v>31</v>
      </c>
      <c r="J71" s="145" t="s">
        <v>5</v>
      </c>
      <c r="K71" s="6" t="s">
        <v>78</v>
      </c>
      <c r="L71" s="117">
        <f t="shared" si="6"/>
        <v>20845</v>
      </c>
      <c r="M71" s="10" t="s">
        <v>7</v>
      </c>
      <c r="N71" s="6">
        <v>0.18509999999999999</v>
      </c>
      <c r="O71" s="6" t="s">
        <v>8</v>
      </c>
      <c r="P71" s="147">
        <f>G83</f>
        <v>0</v>
      </c>
      <c r="Q71" s="143" t="s">
        <v>8</v>
      </c>
      <c r="R71" s="54">
        <f>L71*(N71+P71)</f>
        <v>3858.4094999999998</v>
      </c>
    </row>
    <row r="72" spans="2:18" x14ac:dyDescent="0.3">
      <c r="B72" s="137"/>
      <c r="C72" s="149"/>
      <c r="D72" s="156" t="s">
        <v>32</v>
      </c>
      <c r="E72" s="157"/>
      <c r="F72" s="158"/>
      <c r="G72" s="114">
        <v>131247</v>
      </c>
      <c r="I72" s="180"/>
      <c r="J72" s="149"/>
      <c r="K72" s="14" t="s">
        <v>32</v>
      </c>
      <c r="L72" s="117">
        <f t="shared" si="6"/>
        <v>131247</v>
      </c>
      <c r="M72" s="53" t="s">
        <v>7</v>
      </c>
      <c r="N72" s="14">
        <v>0.18440000000000001</v>
      </c>
      <c r="O72" s="6" t="s">
        <v>8</v>
      </c>
      <c r="P72" s="148"/>
      <c r="Q72" s="144"/>
      <c r="R72" s="54">
        <f>L72*(N72+P71)</f>
        <v>24201.946800000002</v>
      </c>
    </row>
    <row r="73" spans="2:18" ht="15" customHeight="1" x14ac:dyDescent="0.3">
      <c r="B73" s="137"/>
      <c r="C73" s="145" t="s">
        <v>10</v>
      </c>
      <c r="D73" s="156" t="s">
        <v>78</v>
      </c>
      <c r="E73" s="157"/>
      <c r="F73" s="158"/>
      <c r="G73" s="90">
        <v>72101</v>
      </c>
      <c r="I73" s="180"/>
      <c r="J73" s="145" t="s">
        <v>10</v>
      </c>
      <c r="K73" s="6" t="s">
        <v>78</v>
      </c>
      <c r="L73" s="117">
        <f t="shared" si="6"/>
        <v>72101</v>
      </c>
      <c r="M73" s="10" t="s">
        <v>7</v>
      </c>
      <c r="N73" s="6">
        <v>7.5600000000000001E-2</v>
      </c>
      <c r="O73" s="6" t="s">
        <v>8</v>
      </c>
      <c r="P73" s="147">
        <f>G84</f>
        <v>0</v>
      </c>
      <c r="Q73" s="143" t="s">
        <v>8</v>
      </c>
      <c r="R73" s="54">
        <f>L73*(N73+P73)</f>
        <v>5450.8356000000003</v>
      </c>
    </row>
    <row r="74" spans="2:18" x14ac:dyDescent="0.3">
      <c r="B74" s="137"/>
      <c r="C74" s="149"/>
      <c r="D74" s="156" t="s">
        <v>32</v>
      </c>
      <c r="E74" s="157"/>
      <c r="F74" s="158"/>
      <c r="G74" s="114">
        <v>343703</v>
      </c>
      <c r="I74" s="180"/>
      <c r="J74" s="149"/>
      <c r="K74" s="14" t="s">
        <v>32</v>
      </c>
      <c r="L74" s="117">
        <f t="shared" si="6"/>
        <v>343703</v>
      </c>
      <c r="M74" s="53" t="s">
        <v>7</v>
      </c>
      <c r="N74" s="14">
        <v>6.6400000000000001E-2</v>
      </c>
      <c r="O74" s="14" t="s">
        <v>8</v>
      </c>
      <c r="P74" s="148"/>
      <c r="Q74" s="144"/>
      <c r="R74" s="54">
        <f>L74*(N74+P73)</f>
        <v>22821.879199999999</v>
      </c>
    </row>
    <row r="75" spans="2:18" x14ac:dyDescent="0.3">
      <c r="B75" s="137"/>
      <c r="C75" s="145" t="s">
        <v>30</v>
      </c>
      <c r="D75" s="156" t="s">
        <v>78</v>
      </c>
      <c r="E75" s="157"/>
      <c r="F75" s="158"/>
      <c r="G75" s="90">
        <v>59398</v>
      </c>
      <c r="I75" s="180"/>
      <c r="J75" s="145" t="s">
        <v>30</v>
      </c>
      <c r="K75" s="6" t="s">
        <v>78</v>
      </c>
      <c r="L75" s="117">
        <f t="shared" si="6"/>
        <v>59398</v>
      </c>
      <c r="M75" s="53" t="s">
        <v>7</v>
      </c>
      <c r="N75">
        <v>3.1399999999999997E-2</v>
      </c>
      <c r="O75" s="14" t="s">
        <v>8</v>
      </c>
      <c r="P75" s="147">
        <f>G85</f>
        <v>0</v>
      </c>
      <c r="Q75" s="143" t="s">
        <v>8</v>
      </c>
      <c r="R75" s="54">
        <f>L75*(N75+P75)</f>
        <v>1865.0971999999999</v>
      </c>
    </row>
    <row r="76" spans="2:18" x14ac:dyDescent="0.3">
      <c r="B76" s="138"/>
      <c r="C76" s="146"/>
      <c r="D76" s="173" t="s">
        <v>32</v>
      </c>
      <c r="E76" s="174"/>
      <c r="F76" s="175"/>
      <c r="G76" s="115">
        <v>198409</v>
      </c>
      <c r="I76" s="149"/>
      <c r="J76" s="149"/>
      <c r="K76" s="14" t="s">
        <v>32</v>
      </c>
      <c r="L76" s="117">
        <f t="shared" si="6"/>
        <v>198409</v>
      </c>
      <c r="M76" s="53" t="s">
        <v>7</v>
      </c>
      <c r="N76" s="14">
        <v>1.7299999999999999E-2</v>
      </c>
      <c r="O76" s="14" t="s">
        <v>8</v>
      </c>
      <c r="P76" s="148"/>
      <c r="Q76" s="144"/>
      <c r="R76" s="54">
        <f>L76*(N76+P75)</f>
        <v>3432.4757</v>
      </c>
    </row>
    <row r="77" spans="2:18" ht="15" thickBot="1" x14ac:dyDescent="0.35">
      <c r="I77" s="145" t="s">
        <v>21</v>
      </c>
      <c r="J77" s="145"/>
      <c r="K77" s="6" t="s">
        <v>33</v>
      </c>
      <c r="L77" s="56">
        <f>C79*G87</f>
        <v>360</v>
      </c>
      <c r="M77" s="53" t="s">
        <v>60</v>
      </c>
      <c r="N77" s="109">
        <v>1.5</v>
      </c>
      <c r="O77" s="6" t="s">
        <v>34</v>
      </c>
      <c r="P77" s="34"/>
      <c r="Q77" s="13"/>
      <c r="R77" s="55">
        <f>L77*N77</f>
        <v>540</v>
      </c>
    </row>
    <row r="78" spans="2:18" x14ac:dyDescent="0.3">
      <c r="B78" s="95" t="s">
        <v>21</v>
      </c>
      <c r="C78" s="96" t="s">
        <v>72</v>
      </c>
      <c r="E78" s="129" t="s">
        <v>2</v>
      </c>
      <c r="F78" s="130"/>
      <c r="G78" s="131"/>
      <c r="I78" s="180"/>
      <c r="J78" s="180"/>
      <c r="K78" s="6" t="s">
        <v>35</v>
      </c>
      <c r="L78" s="56">
        <f>C80*G87</f>
        <v>0</v>
      </c>
      <c r="M78" s="53" t="s">
        <v>60</v>
      </c>
      <c r="N78" s="109">
        <v>3.01</v>
      </c>
      <c r="O78" s="6" t="s">
        <v>34</v>
      </c>
      <c r="P78" s="34"/>
      <c r="Q78" s="13"/>
      <c r="R78" s="55">
        <f t="shared" ref="R78:R89" si="7">L78*N78</f>
        <v>0</v>
      </c>
    </row>
    <row r="79" spans="2:18" x14ac:dyDescent="0.3">
      <c r="B79" s="86" t="s">
        <v>33</v>
      </c>
      <c r="C79" s="89">
        <v>15</v>
      </c>
      <c r="E79" s="132"/>
      <c r="F79" s="133"/>
      <c r="G79" s="134"/>
      <c r="I79" s="180"/>
      <c r="J79" s="180"/>
      <c r="K79" s="6" t="s">
        <v>36</v>
      </c>
      <c r="L79" s="56">
        <f t="shared" ref="L79:L86" si="8">C81*$G$87</f>
        <v>384</v>
      </c>
      <c r="M79" s="53" t="s">
        <v>60</v>
      </c>
      <c r="N79" s="109">
        <v>4.51</v>
      </c>
      <c r="O79" s="6" t="s">
        <v>34</v>
      </c>
      <c r="P79" s="34"/>
      <c r="Q79" s="13"/>
      <c r="R79" s="55">
        <f t="shared" si="7"/>
        <v>1731.84</v>
      </c>
    </row>
    <row r="80" spans="2:18" ht="15" customHeight="1" x14ac:dyDescent="0.3">
      <c r="B80" s="88" t="s">
        <v>35</v>
      </c>
      <c r="C80" s="90">
        <v>0</v>
      </c>
      <c r="E80" s="93" t="s">
        <v>4</v>
      </c>
      <c r="F80" s="62" t="s">
        <v>27</v>
      </c>
      <c r="G80" s="118">
        <f>'Lote 1 BTN'!C4</f>
        <v>0</v>
      </c>
      <c r="I80" s="180"/>
      <c r="J80" s="180"/>
      <c r="K80" s="6" t="s">
        <v>37</v>
      </c>
      <c r="L80" s="56">
        <f t="shared" si="8"/>
        <v>0</v>
      </c>
      <c r="M80" s="53" t="s">
        <v>60</v>
      </c>
      <c r="N80" s="109">
        <v>6.02</v>
      </c>
      <c r="O80" s="6" t="s">
        <v>34</v>
      </c>
      <c r="P80" s="34"/>
      <c r="Q80" s="13"/>
      <c r="R80" s="55">
        <f t="shared" si="7"/>
        <v>0</v>
      </c>
    </row>
    <row r="81" spans="2:18" x14ac:dyDescent="0.3">
      <c r="B81" s="88" t="s">
        <v>36</v>
      </c>
      <c r="C81" s="90">
        <v>16</v>
      </c>
      <c r="E81" s="135" t="s">
        <v>28</v>
      </c>
      <c r="F81" s="6" t="s">
        <v>29</v>
      </c>
      <c r="G81" s="118">
        <f>'Lote 1 BTN'!C5</f>
        <v>0</v>
      </c>
      <c r="I81" s="180"/>
      <c r="J81" s="180"/>
      <c r="K81" s="6" t="s">
        <v>38</v>
      </c>
      <c r="L81" s="56">
        <f t="shared" si="8"/>
        <v>24</v>
      </c>
      <c r="M81" s="53" t="s">
        <v>60</v>
      </c>
      <c r="N81" s="109">
        <v>7.52</v>
      </c>
      <c r="O81" s="6" t="s">
        <v>34</v>
      </c>
      <c r="P81" s="34"/>
      <c r="Q81" s="13"/>
      <c r="R81" s="55">
        <f t="shared" si="7"/>
        <v>180.48</v>
      </c>
    </row>
    <row r="82" spans="2:18" x14ac:dyDescent="0.3">
      <c r="B82" s="88" t="s">
        <v>37</v>
      </c>
      <c r="C82" s="90">
        <v>0</v>
      </c>
      <c r="E82" s="136"/>
      <c r="F82" s="14" t="s">
        <v>30</v>
      </c>
      <c r="G82" s="118">
        <f>'Lote 1 BTN'!C6</f>
        <v>0</v>
      </c>
      <c r="I82" s="180"/>
      <c r="J82" s="180"/>
      <c r="K82" s="6" t="s">
        <v>39</v>
      </c>
      <c r="L82" s="56">
        <f t="shared" si="8"/>
        <v>576</v>
      </c>
      <c r="M82" s="53" t="s">
        <v>60</v>
      </c>
      <c r="N82" s="109">
        <v>9.0299999999999994</v>
      </c>
      <c r="O82" s="6" t="s">
        <v>34</v>
      </c>
      <c r="P82" s="34"/>
      <c r="Q82" s="13"/>
      <c r="R82" s="55">
        <f t="shared" si="7"/>
        <v>5201.28</v>
      </c>
    </row>
    <row r="83" spans="2:18" x14ac:dyDescent="0.3">
      <c r="B83" s="88" t="s">
        <v>38</v>
      </c>
      <c r="C83" s="90">
        <v>1</v>
      </c>
      <c r="E83" s="135" t="s">
        <v>31</v>
      </c>
      <c r="F83" s="61" t="s">
        <v>5</v>
      </c>
      <c r="G83" s="118">
        <f>'Lote 1 BTN'!C7</f>
        <v>0</v>
      </c>
      <c r="I83" s="180"/>
      <c r="J83" s="180"/>
      <c r="K83" s="6" t="s">
        <v>40</v>
      </c>
      <c r="L83" s="56">
        <f t="shared" si="8"/>
        <v>120</v>
      </c>
      <c r="M83" s="53" t="s">
        <v>60</v>
      </c>
      <c r="N83" s="109">
        <v>13.54</v>
      </c>
      <c r="O83" s="6" t="s">
        <v>34</v>
      </c>
      <c r="P83" s="34"/>
      <c r="Q83" s="13"/>
      <c r="R83" s="55">
        <f t="shared" si="7"/>
        <v>1624.8</v>
      </c>
    </row>
    <row r="84" spans="2:18" x14ac:dyDescent="0.3">
      <c r="B84" s="88" t="s">
        <v>39</v>
      </c>
      <c r="C84" s="90">
        <v>24</v>
      </c>
      <c r="E84" s="137"/>
      <c r="F84" s="61" t="s">
        <v>10</v>
      </c>
      <c r="G84" s="118">
        <f>'Lote 1 BTN'!C8</f>
        <v>0</v>
      </c>
      <c r="I84" s="180"/>
      <c r="J84" s="180"/>
      <c r="K84" s="6" t="s">
        <v>41</v>
      </c>
      <c r="L84" s="56">
        <f t="shared" si="8"/>
        <v>120</v>
      </c>
      <c r="M84" s="53" t="s">
        <v>60</v>
      </c>
      <c r="N84" s="109">
        <v>18.05</v>
      </c>
      <c r="O84" s="6" t="s">
        <v>34</v>
      </c>
      <c r="P84" s="34"/>
      <c r="Q84" s="13"/>
      <c r="R84" s="55">
        <f t="shared" si="7"/>
        <v>2166</v>
      </c>
    </row>
    <row r="85" spans="2:18" x14ac:dyDescent="0.3">
      <c r="B85" s="88" t="s">
        <v>40</v>
      </c>
      <c r="C85" s="90">
        <v>5</v>
      </c>
      <c r="E85" s="138"/>
      <c r="F85" s="94" t="s">
        <v>30</v>
      </c>
      <c r="G85" s="118">
        <f>'Lote 1 BTN'!C9</f>
        <v>0</v>
      </c>
      <c r="I85" s="180"/>
      <c r="J85" s="180"/>
      <c r="K85" s="6" t="s">
        <v>42</v>
      </c>
      <c r="L85" s="56">
        <f t="shared" si="8"/>
        <v>24</v>
      </c>
      <c r="M85" s="53" t="s">
        <v>60</v>
      </c>
      <c r="N85" s="109">
        <v>22.56</v>
      </c>
      <c r="O85" s="6" t="s">
        <v>34</v>
      </c>
      <c r="P85" s="34"/>
      <c r="Q85" s="13"/>
      <c r="R85" s="55">
        <f t="shared" si="7"/>
        <v>541.43999999999994</v>
      </c>
    </row>
    <row r="86" spans="2:18" x14ac:dyDescent="0.3">
      <c r="B86" s="88" t="s">
        <v>41</v>
      </c>
      <c r="C86" s="90">
        <v>5</v>
      </c>
      <c r="I86" s="180"/>
      <c r="J86" s="180"/>
      <c r="K86" s="6" t="s">
        <v>43</v>
      </c>
      <c r="L86" s="56">
        <f t="shared" si="8"/>
        <v>528</v>
      </c>
      <c r="M86" s="53" t="s">
        <v>60</v>
      </c>
      <c r="N86" s="109">
        <v>27.08</v>
      </c>
      <c r="O86" s="6" t="s">
        <v>34</v>
      </c>
      <c r="P86" s="34"/>
      <c r="Q86" s="13"/>
      <c r="R86" s="55">
        <f t="shared" si="7"/>
        <v>14298.24</v>
      </c>
    </row>
    <row r="87" spans="2:18" x14ac:dyDescent="0.3">
      <c r="B87" s="88" t="s">
        <v>42</v>
      </c>
      <c r="C87" s="90">
        <v>1</v>
      </c>
      <c r="E87" s="150" t="s">
        <v>76</v>
      </c>
      <c r="F87" s="151"/>
      <c r="G87" s="152">
        <v>24</v>
      </c>
      <c r="I87" s="180"/>
      <c r="J87" s="180"/>
      <c r="K87" s="6" t="s">
        <v>44</v>
      </c>
      <c r="L87" s="56">
        <f>C90*$G$87</f>
        <v>96</v>
      </c>
      <c r="M87" s="53" t="s">
        <v>60</v>
      </c>
      <c r="N87" s="6">
        <v>36.1</v>
      </c>
      <c r="O87" s="6" t="s">
        <v>34</v>
      </c>
      <c r="P87" s="34"/>
      <c r="Q87" s="13"/>
      <c r="R87" s="55">
        <f t="shared" si="7"/>
        <v>3465.6000000000004</v>
      </c>
    </row>
    <row r="88" spans="2:18" ht="15" thickBot="1" x14ac:dyDescent="0.35">
      <c r="B88" s="92" t="s">
        <v>43</v>
      </c>
      <c r="C88" s="91">
        <v>22</v>
      </c>
      <c r="E88" s="154" t="s">
        <v>59</v>
      </c>
      <c r="F88" s="155"/>
      <c r="G88" s="153"/>
      <c r="I88" s="180"/>
      <c r="J88" s="180"/>
      <c r="K88" s="6" t="s">
        <v>45</v>
      </c>
      <c r="L88" s="56">
        <f>C91*$G$87</f>
        <v>120</v>
      </c>
      <c r="M88" s="53" t="s">
        <v>60</v>
      </c>
      <c r="N88" s="6">
        <v>45.13</v>
      </c>
      <c r="O88" s="6" t="s">
        <v>34</v>
      </c>
      <c r="P88" s="34"/>
      <c r="Q88" s="13"/>
      <c r="R88" s="55">
        <f t="shared" si="7"/>
        <v>5415.6</v>
      </c>
    </row>
    <row r="89" spans="2:18" x14ac:dyDescent="0.3">
      <c r="B89" s="95" t="s">
        <v>21</v>
      </c>
      <c r="C89" s="96" t="s">
        <v>72</v>
      </c>
      <c r="I89" s="149"/>
      <c r="J89" s="149"/>
      <c r="K89" s="6" t="s">
        <v>46</v>
      </c>
      <c r="L89" s="56">
        <f>C92*$G$87</f>
        <v>72</v>
      </c>
      <c r="M89" s="53" t="s">
        <v>60</v>
      </c>
      <c r="N89" s="6">
        <v>54.15</v>
      </c>
      <c r="O89" s="6" t="s">
        <v>34</v>
      </c>
      <c r="P89" s="34"/>
      <c r="Q89" s="13"/>
      <c r="R89" s="55">
        <f t="shared" si="7"/>
        <v>3898.7999999999997</v>
      </c>
    </row>
    <row r="90" spans="2:18" x14ac:dyDescent="0.3">
      <c r="B90" s="88" t="s">
        <v>44</v>
      </c>
      <c r="C90" s="90">
        <v>4</v>
      </c>
      <c r="I90" s="27"/>
      <c r="J90" s="27"/>
      <c r="K90" s="27"/>
      <c r="L90" s="28"/>
      <c r="M90" s="57"/>
      <c r="N90" s="29"/>
      <c r="O90" s="27"/>
      <c r="P90" s="28"/>
      <c r="Q90" s="31" t="s">
        <v>24</v>
      </c>
      <c r="R90" s="58">
        <f>SUM(R68:R89)</f>
        <v>139123.94450000001</v>
      </c>
    </row>
    <row r="91" spans="2:18" x14ac:dyDescent="0.3">
      <c r="B91" s="88" t="s">
        <v>45</v>
      </c>
      <c r="C91" s="90">
        <v>5</v>
      </c>
      <c r="I91" t="s">
        <v>47</v>
      </c>
      <c r="L91" s="21">
        <f>SUM(L68:L76)</f>
        <v>1353464</v>
      </c>
      <c r="M91" s="59" t="s">
        <v>7</v>
      </c>
      <c r="N91">
        <v>1E-3</v>
      </c>
      <c r="O91" t="s">
        <v>8</v>
      </c>
      <c r="P91" s="48"/>
      <c r="Q91" s="26"/>
      <c r="R91" s="18">
        <f>L91*N91</f>
        <v>1353.4639999999999</v>
      </c>
    </row>
    <row r="92" spans="2:18" ht="15" thickBot="1" x14ac:dyDescent="0.35">
      <c r="B92" s="87" t="s">
        <v>46</v>
      </c>
      <c r="C92" s="91">
        <v>3</v>
      </c>
      <c r="I92" s="6" t="s">
        <v>50</v>
      </c>
      <c r="J92" s="102" t="s">
        <v>77</v>
      </c>
      <c r="K92" s="103">
        <f>G87</f>
        <v>24</v>
      </c>
      <c r="L92" s="77">
        <f>C93*G87</f>
        <v>2424</v>
      </c>
      <c r="M92" s="8" t="s">
        <v>60</v>
      </c>
      <c r="N92" s="76">
        <v>2.85</v>
      </c>
      <c r="O92" s="20" t="s">
        <v>34</v>
      </c>
      <c r="P92" s="34"/>
      <c r="Q92" s="13"/>
      <c r="R92" s="18">
        <f t="shared" ref="R92" si="9">L92*N92</f>
        <v>6908.4000000000005</v>
      </c>
    </row>
    <row r="93" spans="2:18" x14ac:dyDescent="0.3">
      <c r="B93" s="95" t="s">
        <v>73</v>
      </c>
      <c r="C93" s="97">
        <f>C79+C80+C81+C82+C83+C84+C85+C86+C87+C88+C90+C91+C92</f>
        <v>101</v>
      </c>
      <c r="J93" s="102"/>
      <c r="K93" s="103"/>
      <c r="L93" s="77"/>
      <c r="M93" s="8"/>
      <c r="N93" s="76"/>
      <c r="O93" s="20"/>
      <c r="P93" s="34"/>
      <c r="Q93" s="13"/>
      <c r="R93" s="18"/>
    </row>
    <row r="94" spans="2:18" ht="15" thickBot="1" x14ac:dyDescent="0.35">
      <c r="I94" s="36"/>
      <c r="J94" s="36"/>
      <c r="K94" s="36"/>
      <c r="L94" s="37"/>
      <c r="M94" s="37"/>
      <c r="N94" s="37"/>
      <c r="O94" s="36" t="s">
        <v>69</v>
      </c>
      <c r="P94" s="51"/>
      <c r="Q94" s="39"/>
      <c r="R94" s="60">
        <f>R90+R91+R92</f>
        <v>147385.80850000001</v>
      </c>
    </row>
    <row r="96" spans="2:18" ht="15" thickBot="1" x14ac:dyDescent="0.35">
      <c r="I96" s="78" t="s">
        <v>66</v>
      </c>
      <c r="J96" s="142" t="s">
        <v>64</v>
      </c>
      <c r="K96" s="142"/>
      <c r="L96" s="142" t="s">
        <v>63</v>
      </c>
      <c r="M96" s="142"/>
      <c r="N96" s="142" t="s">
        <v>67</v>
      </c>
      <c r="O96" s="142"/>
      <c r="P96" s="142" t="s">
        <v>65</v>
      </c>
      <c r="Q96" s="142"/>
      <c r="R96" s="78" t="s">
        <v>68</v>
      </c>
    </row>
    <row r="97" spans="2:19" ht="15" thickBot="1" x14ac:dyDescent="0.35">
      <c r="I97" s="128">
        <f>SUM(L68:L76)</f>
        <v>1353464</v>
      </c>
      <c r="J97" s="139">
        <f>L68*P68+L69*P69+L70*P70+(L71+L72)*P71+(L73+L74)*P73+(L75+L76)*P75</f>
        <v>0</v>
      </c>
      <c r="K97" s="139"/>
      <c r="L97" s="139">
        <f>SUMPRODUCT(L68:L76,N68:N76)+SUM(R77:R89)</f>
        <v>139123.94450000001</v>
      </c>
      <c r="M97" s="139"/>
      <c r="N97" s="139">
        <f>SUMPRODUCT(L91:L92,N91:N92)</f>
        <v>8261.8640000000014</v>
      </c>
      <c r="O97" s="139"/>
      <c r="P97" s="139">
        <f>J97+L97+N97</f>
        <v>147385.80850000001</v>
      </c>
      <c r="Q97" s="139"/>
      <c r="R97" s="79">
        <f>IF(I97=0,0,P97/I97)</f>
        <v>0.108895255802888</v>
      </c>
    </row>
    <row r="99" spans="2:19" ht="15" thickBot="1" x14ac:dyDescent="0.35"/>
    <row r="100" spans="2:19" ht="16.2" thickBot="1" x14ac:dyDescent="0.35">
      <c r="B100" s="198" t="s">
        <v>79</v>
      </c>
      <c r="C100" s="199"/>
      <c r="D100" s="199"/>
      <c r="E100" s="199"/>
      <c r="F100" s="199"/>
      <c r="G100" s="200"/>
      <c r="I100" s="198" t="s">
        <v>79</v>
      </c>
      <c r="J100" s="199"/>
      <c r="K100" s="199"/>
      <c r="L100" s="199"/>
      <c r="M100" s="199"/>
      <c r="N100" s="199"/>
      <c r="O100" s="199"/>
      <c r="P100" s="199"/>
      <c r="Q100" s="199"/>
      <c r="R100" s="200"/>
    </row>
    <row r="101" spans="2:19" ht="15" customHeight="1" thickBot="1" x14ac:dyDescent="0.35">
      <c r="B101" s="100"/>
      <c r="C101" s="100"/>
      <c r="D101" s="100"/>
      <c r="E101" s="100"/>
      <c r="F101" s="100"/>
      <c r="G101" s="100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</row>
    <row r="102" spans="2:19" x14ac:dyDescent="0.3">
      <c r="B102" s="159" t="s">
        <v>1</v>
      </c>
      <c r="C102" s="160"/>
      <c r="D102" s="160"/>
      <c r="E102" s="160"/>
      <c r="F102" s="160"/>
      <c r="G102" s="161"/>
      <c r="I102" s="165" t="s">
        <v>0</v>
      </c>
      <c r="J102" s="165"/>
      <c r="K102" s="166"/>
      <c r="L102" s="169" t="s">
        <v>1</v>
      </c>
      <c r="M102" s="170"/>
      <c r="N102" s="129" t="s">
        <v>81</v>
      </c>
      <c r="O102" s="131"/>
      <c r="P102" s="181" t="s">
        <v>2</v>
      </c>
      <c r="Q102" s="130"/>
      <c r="R102" s="169" t="s">
        <v>3</v>
      </c>
    </row>
    <row r="103" spans="2:19" x14ac:dyDescent="0.3">
      <c r="B103" s="162"/>
      <c r="C103" s="163"/>
      <c r="D103" s="163"/>
      <c r="E103" s="163"/>
      <c r="F103" s="163"/>
      <c r="G103" s="164"/>
      <c r="I103" s="167"/>
      <c r="J103" s="167"/>
      <c r="K103" s="168"/>
      <c r="L103" s="171"/>
      <c r="M103" s="172"/>
      <c r="N103" s="132"/>
      <c r="O103" s="134"/>
      <c r="P103" s="182"/>
      <c r="Q103" s="133"/>
      <c r="R103" s="171"/>
    </row>
    <row r="104" spans="2:19" ht="15" customHeight="1" x14ac:dyDescent="0.3">
      <c r="B104" s="93" t="s">
        <v>4</v>
      </c>
      <c r="C104" s="107" t="s">
        <v>27</v>
      </c>
      <c r="D104" s="183" t="s">
        <v>78</v>
      </c>
      <c r="E104" s="184"/>
      <c r="F104" s="185"/>
      <c r="G104" s="113">
        <v>0</v>
      </c>
      <c r="I104" s="62" t="s">
        <v>4</v>
      </c>
      <c r="J104" s="62" t="s">
        <v>27</v>
      </c>
      <c r="K104" s="108" t="s">
        <v>78</v>
      </c>
      <c r="L104" s="116">
        <f t="shared" ref="L104:L112" si="10">G104</f>
        <v>0</v>
      </c>
      <c r="M104" s="4" t="s">
        <v>7</v>
      </c>
      <c r="N104" s="1">
        <v>7.2800000000000004E-2</v>
      </c>
      <c r="O104" s="1" t="s">
        <v>8</v>
      </c>
      <c r="P104" s="106">
        <f>G116</f>
        <v>0</v>
      </c>
      <c r="Q104" s="107" t="s">
        <v>8</v>
      </c>
      <c r="R104" s="52">
        <f>L104*(N104+P104)</f>
        <v>0</v>
      </c>
    </row>
    <row r="105" spans="2:19" x14ac:dyDescent="0.3">
      <c r="B105" s="135" t="s">
        <v>28</v>
      </c>
      <c r="C105" s="6" t="s">
        <v>29</v>
      </c>
      <c r="D105" s="186" t="s">
        <v>78</v>
      </c>
      <c r="E105" s="187"/>
      <c r="F105" s="188"/>
      <c r="G105" s="90">
        <v>3084474</v>
      </c>
      <c r="I105" s="179" t="s">
        <v>28</v>
      </c>
      <c r="J105" s="6" t="s">
        <v>29</v>
      </c>
      <c r="K105" s="145" t="s">
        <v>78</v>
      </c>
      <c r="L105" s="117">
        <f>G105</f>
        <v>3084474</v>
      </c>
      <c r="M105" s="10" t="s">
        <v>7</v>
      </c>
      <c r="N105" s="6">
        <v>9.9900000000000003E-2</v>
      </c>
      <c r="O105" s="6" t="s">
        <v>8</v>
      </c>
      <c r="P105" s="98">
        <f>G117</f>
        <v>0</v>
      </c>
      <c r="Q105" s="10" t="s">
        <v>8</v>
      </c>
      <c r="R105" s="55">
        <f>L105*(N105+P105)</f>
        <v>308138.95260000002</v>
      </c>
      <c r="S105">
        <f>+L105/(L105+L106)</f>
        <v>0.76985170901281941</v>
      </c>
    </row>
    <row r="106" spans="2:19" ht="15" customHeight="1" x14ac:dyDescent="0.3">
      <c r="B106" s="136"/>
      <c r="C106" s="14" t="s">
        <v>30</v>
      </c>
      <c r="D106" s="186"/>
      <c r="E106" s="187"/>
      <c r="F106" s="188"/>
      <c r="G106" s="114">
        <v>922108</v>
      </c>
      <c r="I106" s="189"/>
      <c r="J106" s="14" t="s">
        <v>30</v>
      </c>
      <c r="K106" s="149"/>
      <c r="L106" s="117">
        <f t="shared" si="10"/>
        <v>922108</v>
      </c>
      <c r="M106" s="53" t="s">
        <v>7</v>
      </c>
      <c r="N106" s="14">
        <v>3.1399999999999997E-2</v>
      </c>
      <c r="O106" s="6" t="s">
        <v>8</v>
      </c>
      <c r="P106" s="99">
        <f>G118</f>
        <v>0</v>
      </c>
      <c r="Q106" s="10" t="s">
        <v>8</v>
      </c>
      <c r="R106" s="54">
        <f>L106*(N106+P106)</f>
        <v>28954.191199999997</v>
      </c>
      <c r="S106">
        <f>+L106/(L106+L105)</f>
        <v>0.23014829098718059</v>
      </c>
    </row>
    <row r="107" spans="2:19" x14ac:dyDescent="0.3">
      <c r="B107" s="135" t="s">
        <v>31</v>
      </c>
      <c r="C107" s="145" t="s">
        <v>5</v>
      </c>
      <c r="D107" s="156" t="s">
        <v>78</v>
      </c>
      <c r="E107" s="157"/>
      <c r="F107" s="158"/>
      <c r="G107" s="90"/>
      <c r="I107" s="179" t="s">
        <v>31</v>
      </c>
      <c r="J107" s="145" t="s">
        <v>5</v>
      </c>
      <c r="K107" s="6" t="s">
        <v>78</v>
      </c>
      <c r="L107" s="117">
        <f t="shared" si="10"/>
        <v>0</v>
      </c>
      <c r="M107" s="10" t="s">
        <v>7</v>
      </c>
      <c r="N107" s="6">
        <v>0.18509999999999999</v>
      </c>
      <c r="O107" s="6" t="s">
        <v>8</v>
      </c>
      <c r="P107" s="147">
        <f>G119</f>
        <v>0</v>
      </c>
      <c r="Q107" s="143" t="s">
        <v>8</v>
      </c>
      <c r="R107" s="54">
        <f>L107*(N107+P107)</f>
        <v>0</v>
      </c>
    </row>
    <row r="108" spans="2:19" x14ac:dyDescent="0.3">
      <c r="B108" s="137"/>
      <c r="C108" s="149"/>
      <c r="D108" s="156" t="s">
        <v>32</v>
      </c>
      <c r="E108" s="157"/>
      <c r="F108" s="158"/>
      <c r="G108" s="114">
        <v>19507</v>
      </c>
      <c r="I108" s="180"/>
      <c r="J108" s="149"/>
      <c r="K108" s="14" t="s">
        <v>32</v>
      </c>
      <c r="L108" s="117">
        <f t="shared" si="10"/>
        <v>19507</v>
      </c>
      <c r="M108" s="53" t="s">
        <v>7</v>
      </c>
      <c r="N108" s="14">
        <v>0.18440000000000001</v>
      </c>
      <c r="O108" s="6" t="s">
        <v>8</v>
      </c>
      <c r="P108" s="148"/>
      <c r="Q108" s="144"/>
      <c r="R108" s="54">
        <f>L108*(N108+P107)</f>
        <v>3597.0907999999999</v>
      </c>
    </row>
    <row r="109" spans="2:19" x14ac:dyDescent="0.3">
      <c r="B109" s="137"/>
      <c r="C109" s="145" t="s">
        <v>10</v>
      </c>
      <c r="D109" s="156" t="s">
        <v>78</v>
      </c>
      <c r="E109" s="157"/>
      <c r="F109" s="158"/>
      <c r="G109" s="90"/>
      <c r="I109" s="180"/>
      <c r="J109" s="145" t="s">
        <v>10</v>
      </c>
      <c r="K109" s="6" t="s">
        <v>78</v>
      </c>
      <c r="L109" s="117">
        <f t="shared" si="10"/>
        <v>0</v>
      </c>
      <c r="M109" s="10" t="s">
        <v>7</v>
      </c>
      <c r="N109" s="6">
        <v>7.5600000000000001E-2</v>
      </c>
      <c r="O109" s="6" t="s">
        <v>8</v>
      </c>
      <c r="P109" s="147">
        <f>G120</f>
        <v>0</v>
      </c>
      <c r="Q109" s="143" t="s">
        <v>8</v>
      </c>
      <c r="R109" s="54">
        <f>L109*(N109+P109)</f>
        <v>0</v>
      </c>
    </row>
    <row r="110" spans="2:19" x14ac:dyDescent="0.3">
      <c r="B110" s="137"/>
      <c r="C110" s="149"/>
      <c r="D110" s="156" t="s">
        <v>32</v>
      </c>
      <c r="E110" s="157"/>
      <c r="F110" s="158"/>
      <c r="G110" s="114">
        <v>21278</v>
      </c>
      <c r="I110" s="180"/>
      <c r="J110" s="149"/>
      <c r="K110" s="14" t="s">
        <v>32</v>
      </c>
      <c r="L110" s="117">
        <f t="shared" si="10"/>
        <v>21278</v>
      </c>
      <c r="M110" s="53" t="s">
        <v>7</v>
      </c>
      <c r="N110" s="14">
        <v>6.6400000000000001E-2</v>
      </c>
      <c r="O110" s="14" t="s">
        <v>8</v>
      </c>
      <c r="P110" s="148"/>
      <c r="Q110" s="144"/>
      <c r="R110" s="54">
        <f>L110*(N110+P109)</f>
        <v>1412.8592000000001</v>
      </c>
    </row>
    <row r="111" spans="2:19" x14ac:dyDescent="0.3">
      <c r="B111" s="137"/>
      <c r="C111" s="145" t="s">
        <v>30</v>
      </c>
      <c r="D111" s="156" t="s">
        <v>78</v>
      </c>
      <c r="E111" s="157"/>
      <c r="F111" s="158"/>
      <c r="G111" s="90"/>
      <c r="I111" s="180"/>
      <c r="J111" s="145" t="s">
        <v>30</v>
      </c>
      <c r="K111" s="6" t="s">
        <v>78</v>
      </c>
      <c r="L111" s="117">
        <f t="shared" si="10"/>
        <v>0</v>
      </c>
      <c r="M111" s="53" t="s">
        <v>7</v>
      </c>
      <c r="N111">
        <v>3.1399999999999997E-2</v>
      </c>
      <c r="O111" s="14" t="s">
        <v>8</v>
      </c>
      <c r="P111" s="147">
        <f>G121</f>
        <v>0</v>
      </c>
      <c r="Q111" s="143" t="s">
        <v>8</v>
      </c>
      <c r="R111" s="54">
        <f>L111*(N111+P111)</f>
        <v>0</v>
      </c>
    </row>
    <row r="112" spans="2:19" x14ac:dyDescent="0.3">
      <c r="B112" s="138"/>
      <c r="C112" s="146"/>
      <c r="D112" s="173" t="s">
        <v>32</v>
      </c>
      <c r="E112" s="174"/>
      <c r="F112" s="175"/>
      <c r="G112" s="115">
        <v>136536</v>
      </c>
      <c r="I112" s="149"/>
      <c r="J112" s="149"/>
      <c r="K112" s="14" t="s">
        <v>32</v>
      </c>
      <c r="L112" s="117">
        <f t="shared" si="10"/>
        <v>136536</v>
      </c>
      <c r="M112" s="53" t="s">
        <v>7</v>
      </c>
      <c r="N112" s="14">
        <v>1.7299999999999999E-2</v>
      </c>
      <c r="O112" s="14" t="s">
        <v>8</v>
      </c>
      <c r="P112" s="148"/>
      <c r="Q112" s="144"/>
      <c r="R112" s="54">
        <f>L112*(N112+P111)</f>
        <v>2362.0727999999999</v>
      </c>
    </row>
    <row r="113" spans="2:18" ht="15" customHeight="1" thickBot="1" x14ac:dyDescent="0.35">
      <c r="I113" s="176" t="s">
        <v>21</v>
      </c>
      <c r="J113" s="6" t="s">
        <v>85</v>
      </c>
      <c r="K113" s="6" t="s">
        <v>80</v>
      </c>
      <c r="L113" s="56">
        <v>551.79</v>
      </c>
      <c r="M113" s="53" t="s">
        <v>60</v>
      </c>
      <c r="N113" s="110">
        <v>4.2900000000000001E-2</v>
      </c>
      <c r="O113" s="6" t="s">
        <v>86</v>
      </c>
      <c r="P113" s="34"/>
      <c r="Q113" s="13"/>
      <c r="R113" s="55">
        <f>L113*N113*$G$123</f>
        <v>17043.68952</v>
      </c>
    </row>
    <row r="114" spans="2:18" x14ac:dyDescent="0.3">
      <c r="B114" s="95" t="s">
        <v>21</v>
      </c>
      <c r="C114" s="96" t="s">
        <v>72</v>
      </c>
      <c r="E114" s="129" t="s">
        <v>2</v>
      </c>
      <c r="F114" s="130"/>
      <c r="G114" s="131"/>
      <c r="I114" s="177"/>
      <c r="J114" s="6"/>
      <c r="K114" s="6" t="s">
        <v>80</v>
      </c>
      <c r="L114" s="56">
        <f>C116*G123</f>
        <v>0</v>
      </c>
      <c r="M114" s="53" t="s">
        <v>60</v>
      </c>
      <c r="N114" s="110"/>
      <c r="O114" s="6" t="s">
        <v>86</v>
      </c>
      <c r="P114" s="34"/>
      <c r="Q114" s="13"/>
      <c r="R114" s="55">
        <f t="shared" ref="R114:R125" si="11">L114*N114*J114*$G$123</f>
        <v>0</v>
      </c>
    </row>
    <row r="115" spans="2:18" x14ac:dyDescent="0.3">
      <c r="B115" s="86" t="s">
        <v>82</v>
      </c>
      <c r="C115" s="89">
        <v>90</v>
      </c>
      <c r="E115" s="132"/>
      <c r="F115" s="133"/>
      <c r="G115" s="134"/>
      <c r="I115" s="177"/>
      <c r="J115" s="6"/>
      <c r="K115" s="6" t="s">
        <v>80</v>
      </c>
      <c r="L115" s="56">
        <f t="shared" ref="L115:L122" si="12">C117*$G$87</f>
        <v>0</v>
      </c>
      <c r="M115" s="53" t="s">
        <v>60</v>
      </c>
      <c r="N115" s="110"/>
      <c r="O115" s="6" t="s">
        <v>86</v>
      </c>
      <c r="P115" s="34"/>
      <c r="Q115" s="13"/>
      <c r="R115" s="55">
        <f t="shared" si="11"/>
        <v>0</v>
      </c>
    </row>
    <row r="116" spans="2:18" ht="15" customHeight="1" x14ac:dyDescent="0.3">
      <c r="B116" s="88"/>
      <c r="C116" s="90"/>
      <c r="E116" s="93" t="s">
        <v>4</v>
      </c>
      <c r="F116" s="62" t="s">
        <v>27</v>
      </c>
      <c r="G116" s="118">
        <f>'Lote 4 BTN (IP)'!C4</f>
        <v>0</v>
      </c>
      <c r="I116" s="177"/>
      <c r="J116" s="6"/>
      <c r="K116" s="6" t="s">
        <v>80</v>
      </c>
      <c r="L116" s="56">
        <f t="shared" si="12"/>
        <v>0</v>
      </c>
      <c r="M116" s="53" t="s">
        <v>60</v>
      </c>
      <c r="N116" s="110"/>
      <c r="O116" s="6" t="s">
        <v>86</v>
      </c>
      <c r="P116" s="34"/>
      <c r="Q116" s="13"/>
      <c r="R116" s="55">
        <f t="shared" si="11"/>
        <v>0</v>
      </c>
    </row>
    <row r="117" spans="2:18" x14ac:dyDescent="0.3">
      <c r="B117" s="88"/>
      <c r="C117" s="90"/>
      <c r="E117" s="135" t="s">
        <v>28</v>
      </c>
      <c r="F117" s="6" t="s">
        <v>29</v>
      </c>
      <c r="G117" s="118">
        <f>'Lote 4 BTN (IP)'!C5</f>
        <v>0</v>
      </c>
      <c r="I117" s="177"/>
      <c r="J117" s="6"/>
      <c r="K117" s="6" t="s">
        <v>80</v>
      </c>
      <c r="L117" s="56">
        <f t="shared" si="12"/>
        <v>0</v>
      </c>
      <c r="M117" s="53" t="s">
        <v>60</v>
      </c>
      <c r="N117" s="110"/>
      <c r="O117" s="6" t="s">
        <v>86</v>
      </c>
      <c r="P117" s="34"/>
      <c r="Q117" s="13"/>
      <c r="R117" s="55">
        <f t="shared" si="11"/>
        <v>0</v>
      </c>
    </row>
    <row r="118" spans="2:18" ht="15" customHeight="1" x14ac:dyDescent="0.3">
      <c r="B118" s="88"/>
      <c r="C118" s="90"/>
      <c r="E118" s="136"/>
      <c r="F118" s="14" t="s">
        <v>30</v>
      </c>
      <c r="G118" s="118">
        <f>'Lote 4 BTN (IP)'!C6</f>
        <v>0</v>
      </c>
      <c r="I118" s="177"/>
      <c r="J118" s="6"/>
      <c r="K118" s="6" t="s">
        <v>80</v>
      </c>
      <c r="L118" s="56">
        <f t="shared" si="12"/>
        <v>0</v>
      </c>
      <c r="M118" s="53" t="s">
        <v>60</v>
      </c>
      <c r="N118" s="110"/>
      <c r="O118" s="6" t="s">
        <v>86</v>
      </c>
      <c r="P118" s="34"/>
      <c r="Q118" s="13"/>
      <c r="R118" s="55">
        <f t="shared" si="11"/>
        <v>0</v>
      </c>
    </row>
    <row r="119" spans="2:18" x14ac:dyDescent="0.3">
      <c r="B119" s="88"/>
      <c r="C119" s="90"/>
      <c r="E119" s="135" t="s">
        <v>31</v>
      </c>
      <c r="F119" s="61" t="s">
        <v>5</v>
      </c>
      <c r="G119" s="118">
        <f>'Lote 4 BTN (IP)'!C7</f>
        <v>0</v>
      </c>
      <c r="I119" s="177"/>
      <c r="J119" s="6"/>
      <c r="K119" s="6" t="s">
        <v>80</v>
      </c>
      <c r="L119" s="56">
        <f t="shared" si="12"/>
        <v>0</v>
      </c>
      <c r="M119" s="53" t="s">
        <v>60</v>
      </c>
      <c r="N119" s="110"/>
      <c r="O119" s="6" t="s">
        <v>86</v>
      </c>
      <c r="P119" s="34"/>
      <c r="Q119" s="13"/>
      <c r="R119" s="55">
        <f t="shared" si="11"/>
        <v>0</v>
      </c>
    </row>
    <row r="120" spans="2:18" x14ac:dyDescent="0.3">
      <c r="B120" s="88"/>
      <c r="C120" s="90"/>
      <c r="E120" s="137"/>
      <c r="F120" s="61" t="s">
        <v>10</v>
      </c>
      <c r="G120" s="118">
        <f>'Lote 4 BTN (IP)'!C8</f>
        <v>0</v>
      </c>
      <c r="I120" s="177"/>
      <c r="J120" s="6"/>
      <c r="K120" s="6" t="s">
        <v>80</v>
      </c>
      <c r="L120" s="56">
        <f t="shared" si="12"/>
        <v>0</v>
      </c>
      <c r="M120" s="53" t="s">
        <v>60</v>
      </c>
      <c r="N120" s="110"/>
      <c r="O120" s="6" t="s">
        <v>86</v>
      </c>
      <c r="P120" s="34"/>
      <c r="Q120" s="13"/>
      <c r="R120" s="55">
        <f t="shared" si="11"/>
        <v>0</v>
      </c>
    </row>
    <row r="121" spans="2:18" x14ac:dyDescent="0.3">
      <c r="B121" s="88"/>
      <c r="C121" s="90"/>
      <c r="E121" s="138"/>
      <c r="F121" s="94" t="s">
        <v>30</v>
      </c>
      <c r="G121" s="118">
        <f>'Lote 4 BTN (IP)'!C9</f>
        <v>0</v>
      </c>
      <c r="I121" s="177"/>
      <c r="J121" s="6"/>
      <c r="K121" s="6" t="s">
        <v>80</v>
      </c>
      <c r="L121" s="56">
        <f t="shared" si="12"/>
        <v>0</v>
      </c>
      <c r="M121" s="53" t="s">
        <v>60</v>
      </c>
      <c r="N121" s="110"/>
      <c r="O121" s="6" t="s">
        <v>86</v>
      </c>
      <c r="P121" s="34"/>
      <c r="Q121" s="13"/>
      <c r="R121" s="55">
        <f t="shared" si="11"/>
        <v>0</v>
      </c>
    </row>
    <row r="122" spans="2:18" x14ac:dyDescent="0.3">
      <c r="B122" s="88"/>
      <c r="C122" s="90"/>
      <c r="I122" s="177"/>
      <c r="J122" s="6"/>
      <c r="K122" s="6" t="s">
        <v>80</v>
      </c>
      <c r="L122" s="56">
        <f t="shared" si="12"/>
        <v>0</v>
      </c>
      <c r="M122" s="53" t="s">
        <v>60</v>
      </c>
      <c r="N122" s="110"/>
      <c r="O122" s="6" t="s">
        <v>86</v>
      </c>
      <c r="P122" s="34"/>
      <c r="Q122" s="13"/>
      <c r="R122" s="55">
        <f t="shared" si="11"/>
        <v>0</v>
      </c>
    </row>
    <row r="123" spans="2:18" x14ac:dyDescent="0.3">
      <c r="B123" s="88"/>
      <c r="C123" s="90"/>
      <c r="E123" s="150" t="s">
        <v>84</v>
      </c>
      <c r="F123" s="151"/>
      <c r="G123" s="152">
        <v>720</v>
      </c>
      <c r="I123" s="177"/>
      <c r="J123" s="6" t="s">
        <v>87</v>
      </c>
      <c r="K123" s="6" t="s">
        <v>80</v>
      </c>
      <c r="L123" s="56">
        <v>22</v>
      </c>
      <c r="M123" s="53" t="s">
        <v>60</v>
      </c>
      <c r="N123" s="110">
        <v>4.2900000000000001E-2</v>
      </c>
      <c r="O123" s="6" t="s">
        <v>86</v>
      </c>
      <c r="P123" s="34"/>
      <c r="Q123" s="13"/>
      <c r="R123" s="55">
        <f>L123*N123*$G$123</f>
        <v>679.53599999999994</v>
      </c>
    </row>
    <row r="124" spans="2:18" ht="15" thickBot="1" x14ac:dyDescent="0.35">
      <c r="B124" s="92"/>
      <c r="C124" s="91"/>
      <c r="E124" s="154" t="s">
        <v>59</v>
      </c>
      <c r="F124" s="155"/>
      <c r="G124" s="153"/>
      <c r="I124" s="177"/>
      <c r="J124" s="6"/>
      <c r="K124" s="6" t="s">
        <v>80</v>
      </c>
      <c r="L124" s="56">
        <f>C127*$G$87</f>
        <v>0</v>
      </c>
      <c r="M124" s="53" t="s">
        <v>60</v>
      </c>
      <c r="N124" s="20"/>
      <c r="O124" s="6" t="s">
        <v>86</v>
      </c>
      <c r="P124" s="34"/>
      <c r="Q124" s="13"/>
      <c r="R124" s="55">
        <f t="shared" si="11"/>
        <v>0</v>
      </c>
    </row>
    <row r="125" spans="2:18" x14ac:dyDescent="0.3">
      <c r="B125" s="95" t="s">
        <v>21</v>
      </c>
      <c r="C125" s="96" t="s">
        <v>72</v>
      </c>
      <c r="I125" s="178"/>
      <c r="J125" s="6"/>
      <c r="K125" s="6" t="s">
        <v>80</v>
      </c>
      <c r="L125" s="56">
        <f>C128*$G$87</f>
        <v>0</v>
      </c>
      <c r="M125" s="53" t="s">
        <v>60</v>
      </c>
      <c r="N125" s="20"/>
      <c r="O125" s="6" t="s">
        <v>86</v>
      </c>
      <c r="P125" s="34"/>
      <c r="Q125" s="13"/>
      <c r="R125" s="55">
        <f t="shared" si="11"/>
        <v>0</v>
      </c>
    </row>
    <row r="126" spans="2:18" x14ac:dyDescent="0.3">
      <c r="B126" s="88" t="s">
        <v>83</v>
      </c>
      <c r="C126" s="90">
        <v>1</v>
      </c>
      <c r="E126" s="150" t="s">
        <v>76</v>
      </c>
      <c r="F126" s="151"/>
      <c r="G126" s="152">
        <v>24</v>
      </c>
      <c r="I126" s="27"/>
      <c r="J126" s="27"/>
      <c r="K126" s="27"/>
      <c r="L126" s="28"/>
      <c r="M126" s="57"/>
      <c r="N126" s="29"/>
      <c r="O126" s="27"/>
      <c r="P126" s="28"/>
      <c r="Q126" s="31" t="s">
        <v>24</v>
      </c>
      <c r="R126" s="58">
        <f>SUM(R104:R125)</f>
        <v>362188.39212000009</v>
      </c>
    </row>
    <row r="127" spans="2:18" x14ac:dyDescent="0.3">
      <c r="B127" s="88"/>
      <c r="C127" s="90"/>
      <c r="E127" s="154" t="s">
        <v>59</v>
      </c>
      <c r="F127" s="155"/>
      <c r="G127" s="153"/>
      <c r="I127" t="s">
        <v>47</v>
      </c>
      <c r="L127" s="21">
        <f>SUM(L104:L112)</f>
        <v>4183903</v>
      </c>
      <c r="M127" s="59" t="s">
        <v>7</v>
      </c>
      <c r="N127">
        <v>1E-3</v>
      </c>
      <c r="O127" t="s">
        <v>8</v>
      </c>
      <c r="P127" s="48"/>
      <c r="Q127" s="26"/>
      <c r="R127" s="18">
        <f>L127*N127</f>
        <v>4183.9030000000002</v>
      </c>
    </row>
    <row r="128" spans="2:18" ht="15" thickBot="1" x14ac:dyDescent="0.35">
      <c r="B128" s="87"/>
      <c r="C128" s="91"/>
      <c r="I128" s="6" t="s">
        <v>50</v>
      </c>
      <c r="J128" s="102" t="s">
        <v>77</v>
      </c>
      <c r="K128" s="103">
        <f>G126</f>
        <v>24</v>
      </c>
      <c r="L128" s="77">
        <f>C129*G123</f>
        <v>65520</v>
      </c>
      <c r="M128" s="8" t="s">
        <v>60</v>
      </c>
      <c r="N128" s="76">
        <v>2.85</v>
      </c>
      <c r="O128" s="20" t="s">
        <v>34</v>
      </c>
      <c r="P128" s="34"/>
      <c r="Q128" s="13"/>
      <c r="R128" s="18">
        <f t="shared" ref="R128" si="13">L128*N128</f>
        <v>186732</v>
      </c>
    </row>
    <row r="129" spans="2:18" x14ac:dyDescent="0.3">
      <c r="B129" s="95" t="s">
        <v>73</v>
      </c>
      <c r="C129" s="97">
        <f>C115+C116+C117+C118+C119+C120+C121+C122+C123+C124+C126+C127+C128</f>
        <v>91</v>
      </c>
      <c r="J129" s="102"/>
      <c r="K129" s="103"/>
      <c r="L129" s="77"/>
      <c r="M129" s="8"/>
      <c r="N129" s="76"/>
      <c r="O129" s="20"/>
      <c r="P129" s="34"/>
      <c r="Q129" s="13"/>
      <c r="R129" s="18"/>
    </row>
    <row r="130" spans="2:18" ht="15" thickBot="1" x14ac:dyDescent="0.35">
      <c r="I130" s="36"/>
      <c r="J130" s="36"/>
      <c r="K130" s="36"/>
      <c r="L130" s="37"/>
      <c r="M130" s="37"/>
      <c r="N130" s="37"/>
      <c r="O130" s="36" t="s">
        <v>69</v>
      </c>
      <c r="P130" s="51"/>
      <c r="Q130" s="39"/>
      <c r="R130" s="60">
        <f>R126+R127+R128</f>
        <v>553104.29512000014</v>
      </c>
    </row>
    <row r="132" spans="2:18" ht="15" thickBot="1" x14ac:dyDescent="0.35">
      <c r="I132" s="78" t="s">
        <v>66</v>
      </c>
      <c r="J132" s="142" t="s">
        <v>64</v>
      </c>
      <c r="K132" s="142"/>
      <c r="L132" s="142" t="s">
        <v>63</v>
      </c>
      <c r="M132" s="142"/>
      <c r="N132" s="142" t="s">
        <v>67</v>
      </c>
      <c r="O132" s="142"/>
      <c r="P132" s="142" t="s">
        <v>65</v>
      </c>
      <c r="Q132" s="142"/>
      <c r="R132" s="78" t="s">
        <v>68</v>
      </c>
    </row>
    <row r="133" spans="2:18" ht="15" thickBot="1" x14ac:dyDescent="0.35">
      <c r="I133" s="128">
        <f>SUM(L104:L112)</f>
        <v>4183903</v>
      </c>
      <c r="J133" s="139">
        <f>L104*P104+L105*P105+L106*P106+(L107+L108)*P107+(L109+L110)*P109+(L111+L112)*P111</f>
        <v>0</v>
      </c>
      <c r="K133" s="139"/>
      <c r="L133" s="139">
        <f>SUMPRODUCT(L104:L112,N104:N112)+SUM(R113:R125)</f>
        <v>362188.39212000003</v>
      </c>
      <c r="M133" s="139"/>
      <c r="N133" s="139">
        <f>SUMPRODUCT(L127:L128,N127:N128)</f>
        <v>190915.90299999999</v>
      </c>
      <c r="O133" s="139"/>
      <c r="P133" s="139">
        <f>J133+L133+N133</f>
        <v>553104.29512000002</v>
      </c>
      <c r="Q133" s="139"/>
      <c r="R133" s="79">
        <f>IF(I133=0,0,P133/I133)</f>
        <v>0.1321981640396539</v>
      </c>
    </row>
  </sheetData>
  <sheetProtection algorithmName="SHA-512" hashValue="8wfYDga36UlpnxFehPSoT3mMmF2AoZISEJqE2B4NjBom+lZng8A64EHrrPlBWeRw9j51LaElK8f7Y68XNPsauw==" saltValue="BP9V6v3wLLqvDbeaNY4c8g==" spinCount="100000" sheet="1" objects="1" scenarios="1" selectLockedCells="1" selectUnlockedCells="1"/>
  <mergeCells count="195">
    <mergeCell ref="D3:E3"/>
    <mergeCell ref="D4:E4"/>
    <mergeCell ref="D5:E5"/>
    <mergeCell ref="D6:E6"/>
    <mergeCell ref="D7:E7"/>
    <mergeCell ref="D8:E8"/>
    <mergeCell ref="P66:Q67"/>
    <mergeCell ref="R66:R67"/>
    <mergeCell ref="J61:K61"/>
    <mergeCell ref="L61:M61"/>
    <mergeCell ref="N61:O61"/>
    <mergeCell ref="P61:Q61"/>
    <mergeCell ref="L12:M13"/>
    <mergeCell ref="N12:O13"/>
    <mergeCell ref="P12:Q13"/>
    <mergeCell ref="R12:R13"/>
    <mergeCell ref="J14:J15"/>
    <mergeCell ref="J16:J17"/>
    <mergeCell ref="J18:J19"/>
    <mergeCell ref="J20:J21"/>
    <mergeCell ref="J41:J42"/>
    <mergeCell ref="J43:J44"/>
    <mergeCell ref="J45:J46"/>
    <mergeCell ref="J47:J48"/>
    <mergeCell ref="P39:Q40"/>
    <mergeCell ref="R39:R40"/>
    <mergeCell ref="I12:K13"/>
    <mergeCell ref="J60:K60"/>
    <mergeCell ref="L60:M60"/>
    <mergeCell ref="N60:O60"/>
    <mergeCell ref="I39:K40"/>
    <mergeCell ref="L39:M40"/>
    <mergeCell ref="N39:O40"/>
    <mergeCell ref="B10:G10"/>
    <mergeCell ref="I10:R10"/>
    <mergeCell ref="I37:R37"/>
    <mergeCell ref="C46:C47"/>
    <mergeCell ref="E46:F46"/>
    <mergeCell ref="G46:G47"/>
    <mergeCell ref="I14:I21"/>
    <mergeCell ref="E22:F22"/>
    <mergeCell ref="G22:G23"/>
    <mergeCell ref="E23:F23"/>
    <mergeCell ref="I41:I48"/>
    <mergeCell ref="P33:Q33"/>
    <mergeCell ref="P34:Q34"/>
    <mergeCell ref="B1:M1"/>
    <mergeCell ref="B69:B70"/>
    <mergeCell ref="E87:F87"/>
    <mergeCell ref="G87:G88"/>
    <mergeCell ref="E88:F88"/>
    <mergeCell ref="P73:P74"/>
    <mergeCell ref="Q73:Q74"/>
    <mergeCell ref="J75:J76"/>
    <mergeCell ref="P75:P76"/>
    <mergeCell ref="Q75:Q76"/>
    <mergeCell ref="B71:B76"/>
    <mergeCell ref="C71:C72"/>
    <mergeCell ref="C73:C74"/>
    <mergeCell ref="C75:C76"/>
    <mergeCell ref="D71:F71"/>
    <mergeCell ref="D72:F72"/>
    <mergeCell ref="B64:G64"/>
    <mergeCell ref="I64:R64"/>
    <mergeCell ref="J33:K33"/>
    <mergeCell ref="J34:K34"/>
    <mergeCell ref="L33:M33"/>
    <mergeCell ref="L34:M34"/>
    <mergeCell ref="N33:O33"/>
    <mergeCell ref="N34:O34"/>
    <mergeCell ref="K6:L6"/>
    <mergeCell ref="B100:G100"/>
    <mergeCell ref="I100:R100"/>
    <mergeCell ref="P96:Q96"/>
    <mergeCell ref="J97:K97"/>
    <mergeCell ref="L97:M97"/>
    <mergeCell ref="N97:O97"/>
    <mergeCell ref="P97:Q97"/>
    <mergeCell ref="K69:K70"/>
    <mergeCell ref="E83:E85"/>
    <mergeCell ref="E78:G79"/>
    <mergeCell ref="E81:E82"/>
    <mergeCell ref="I77:J89"/>
    <mergeCell ref="J73:J74"/>
    <mergeCell ref="D73:F73"/>
    <mergeCell ref="D74:F74"/>
    <mergeCell ref="D75:F75"/>
    <mergeCell ref="D76:F76"/>
    <mergeCell ref="I71:I76"/>
    <mergeCell ref="J71:J72"/>
    <mergeCell ref="P71:P72"/>
    <mergeCell ref="I69:I70"/>
    <mergeCell ref="Q71:Q72"/>
    <mergeCell ref="P60:Q60"/>
    <mergeCell ref="N66:O67"/>
    <mergeCell ref="E49:F49"/>
    <mergeCell ref="G49:G50"/>
    <mergeCell ref="E50:F50"/>
    <mergeCell ref="B3:C3"/>
    <mergeCell ref="B6:C6"/>
    <mergeCell ref="B5:C5"/>
    <mergeCell ref="B4:C4"/>
    <mergeCell ref="B8:C8"/>
    <mergeCell ref="G5:H5"/>
    <mergeCell ref="I5:J5"/>
    <mergeCell ref="K5:L5"/>
    <mergeCell ref="G4:H4"/>
    <mergeCell ref="I4:J4"/>
    <mergeCell ref="K4:L4"/>
    <mergeCell ref="G3:H3"/>
    <mergeCell ref="I3:J3"/>
    <mergeCell ref="K3:L3"/>
    <mergeCell ref="G6:H6"/>
    <mergeCell ref="I6:J6"/>
    <mergeCell ref="G8:H8"/>
    <mergeCell ref="I8:J8"/>
    <mergeCell ref="K8:L8"/>
    <mergeCell ref="B66:G67"/>
    <mergeCell ref="I49:I52"/>
    <mergeCell ref="J49:J51"/>
    <mergeCell ref="I66:K67"/>
    <mergeCell ref="L66:M67"/>
    <mergeCell ref="E14:E16"/>
    <mergeCell ref="E12:G13"/>
    <mergeCell ref="E39:G40"/>
    <mergeCell ref="E41:E43"/>
    <mergeCell ref="B37:G37"/>
    <mergeCell ref="C19:C20"/>
    <mergeCell ref="G19:G20"/>
    <mergeCell ref="E19:F19"/>
    <mergeCell ref="E20:F20"/>
    <mergeCell ref="B12:C13"/>
    <mergeCell ref="B22:C23"/>
    <mergeCell ref="B39:C40"/>
    <mergeCell ref="B49:C50"/>
    <mergeCell ref="I22:I25"/>
    <mergeCell ref="J22:J24"/>
    <mergeCell ref="N102:O103"/>
    <mergeCell ref="P102:Q103"/>
    <mergeCell ref="R102:R103"/>
    <mergeCell ref="D104:F104"/>
    <mergeCell ref="B105:B106"/>
    <mergeCell ref="D105:F106"/>
    <mergeCell ref="I105:I106"/>
    <mergeCell ref="K105:K106"/>
    <mergeCell ref="D68:F68"/>
    <mergeCell ref="D69:F70"/>
    <mergeCell ref="J96:K96"/>
    <mergeCell ref="L96:M96"/>
    <mergeCell ref="N96:O96"/>
    <mergeCell ref="E126:F126"/>
    <mergeCell ref="G126:G127"/>
    <mergeCell ref="E127:F127"/>
    <mergeCell ref="D108:F108"/>
    <mergeCell ref="D109:F109"/>
    <mergeCell ref="D110:F110"/>
    <mergeCell ref="B102:G103"/>
    <mergeCell ref="I102:K103"/>
    <mergeCell ref="L102:M103"/>
    <mergeCell ref="D107:F107"/>
    <mergeCell ref="J111:J112"/>
    <mergeCell ref="D112:F112"/>
    <mergeCell ref="E114:G115"/>
    <mergeCell ref="E117:E118"/>
    <mergeCell ref="E119:E121"/>
    <mergeCell ref="G123:G124"/>
    <mergeCell ref="E124:F124"/>
    <mergeCell ref="D111:F111"/>
    <mergeCell ref="I113:I125"/>
    <mergeCell ref="I107:I112"/>
    <mergeCell ref="J107:J108"/>
    <mergeCell ref="J109:J110"/>
    <mergeCell ref="J133:K133"/>
    <mergeCell ref="L133:M133"/>
    <mergeCell ref="N133:O133"/>
    <mergeCell ref="P133:Q133"/>
    <mergeCell ref="B7:C7"/>
    <mergeCell ref="G7:H7"/>
    <mergeCell ref="I7:J7"/>
    <mergeCell ref="K7:L7"/>
    <mergeCell ref="N132:O132"/>
    <mergeCell ref="P132:Q132"/>
    <mergeCell ref="Q109:Q110"/>
    <mergeCell ref="C111:C112"/>
    <mergeCell ref="P111:P112"/>
    <mergeCell ref="Q111:Q112"/>
    <mergeCell ref="Q107:Q108"/>
    <mergeCell ref="B107:B112"/>
    <mergeCell ref="C107:C108"/>
    <mergeCell ref="P107:P108"/>
    <mergeCell ref="C109:C110"/>
    <mergeCell ref="P109:P110"/>
    <mergeCell ref="J132:K132"/>
    <mergeCell ref="L132:M132"/>
    <mergeCell ref="E123:F12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rowBreaks count="3" manualBreakCount="3">
    <brk id="35" max="16383" man="1"/>
    <brk id="62" max="17" man="1"/>
    <brk id="135" max="17" man="1"/>
  </rowBreaks>
  <ignoredErrors>
    <ignoredError sqref="C58 Q68:R68 P72:Q72 Q69 Q70 Q71 P74:Q74 Q73 P76:Q76 Q75" unlockedFormula="1"/>
    <ignoredError sqref="R69:R76" formula="1" unlockedFormula="1"/>
    <ignoredError sqref="R9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1</vt:i4>
      </vt:variant>
    </vt:vector>
  </HeadingPairs>
  <TitlesOfParts>
    <vt:vector size="6" baseType="lpstr">
      <vt:lpstr>Lote 1 BTN</vt:lpstr>
      <vt:lpstr>Lote 2 BTE</vt:lpstr>
      <vt:lpstr>Lote 3 MT</vt:lpstr>
      <vt:lpstr>Lote 4 BTN (IP)</vt:lpstr>
      <vt:lpstr>ML</vt:lpstr>
      <vt:lpstr>ML!Área_de_Impressão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e315338</dc:creator>
  <cp:lastModifiedBy>Marlene da Conceição Gonçalves Pereira</cp:lastModifiedBy>
  <cp:lastPrinted>2018-05-16T10:26:12Z</cp:lastPrinted>
  <dcterms:created xsi:type="dcterms:W3CDTF">2014-01-10T19:31:10Z</dcterms:created>
  <dcterms:modified xsi:type="dcterms:W3CDTF">2020-10-02T10:26:08Z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7f8580f-1005-4a37-8c38-a5a2bd628a66_Enabled">
    <vt:lpwstr>True</vt:lpwstr>
  </property>
  <property fmtid="{D5CDD505-2E9C-101B-9397-08002B2CF9AE}" pid="3" name="MSIP_Label_f7f8580f-1005-4a37-8c38-a5a2bd628a66_SiteId">
    <vt:lpwstr>bf86fbdb-f8c2-440e-923c-05a60dc2bc9b</vt:lpwstr>
  </property>
  <property fmtid="{D5CDD505-2E9C-101B-9397-08002B2CF9AE}" pid="4" name="MSIP_Label_f7f8580f-1005-4a37-8c38-a5a2bd628a66_Owner">
    <vt:lpwstr>E315338@edp.pt</vt:lpwstr>
  </property>
  <property fmtid="{D5CDD505-2E9C-101B-9397-08002B2CF9AE}" pid="5" name="MSIP_Label_f7f8580f-1005-4a37-8c38-a5a2bd628a66_SetDate">
    <vt:lpwstr>2018-06-11T23:02:00.8313025Z</vt:lpwstr>
  </property>
  <property fmtid="{D5CDD505-2E9C-101B-9397-08002B2CF9AE}" pid="6" name="MSIP_Label_f7f8580f-1005-4a37-8c38-a5a2bd628a66_Name">
    <vt:lpwstr>Public</vt:lpwstr>
  </property>
  <property fmtid="{D5CDD505-2E9C-101B-9397-08002B2CF9AE}" pid="7" name="MSIP_Label_f7f8580f-1005-4a37-8c38-a5a2bd628a66_Application">
    <vt:lpwstr>Microsoft Azure Information Protection</vt:lpwstr>
  </property>
  <property fmtid="{D5CDD505-2E9C-101B-9397-08002B2CF9AE}" pid="8" name="MSIP_Label_f7f8580f-1005-4a37-8c38-a5a2bd628a66_Extended_MSFT_Method">
    <vt:lpwstr>Automatic</vt:lpwstr>
  </property>
  <property fmtid="{D5CDD505-2E9C-101B-9397-08002B2CF9AE}" pid="9" name="MSIP_Label_9811530c-902c-4b75-8616-d6c82cd1332a_Enabled">
    <vt:lpwstr>True</vt:lpwstr>
  </property>
  <property fmtid="{D5CDD505-2E9C-101B-9397-08002B2CF9AE}" pid="10" name="MSIP_Label_9811530c-902c-4b75-8616-d6c82cd1332a_SiteId">
    <vt:lpwstr>bf86fbdb-f8c2-440e-923c-05a60dc2bc9b</vt:lpwstr>
  </property>
  <property fmtid="{D5CDD505-2E9C-101B-9397-08002B2CF9AE}" pid="11" name="MSIP_Label_9811530c-902c-4b75-8616-d6c82cd1332a_Owner">
    <vt:lpwstr>E315338@edp.pt</vt:lpwstr>
  </property>
  <property fmtid="{D5CDD505-2E9C-101B-9397-08002B2CF9AE}" pid="12" name="MSIP_Label_9811530c-902c-4b75-8616-d6c82cd1332a_SetDate">
    <vt:lpwstr>2018-06-11T23:02:00.8322782Z</vt:lpwstr>
  </property>
  <property fmtid="{D5CDD505-2E9C-101B-9397-08002B2CF9AE}" pid="13" name="MSIP_Label_9811530c-902c-4b75-8616-d6c82cd1332a_Name">
    <vt:lpwstr>No personal data</vt:lpwstr>
  </property>
  <property fmtid="{D5CDD505-2E9C-101B-9397-08002B2CF9AE}" pid="14" name="MSIP_Label_9811530c-902c-4b75-8616-d6c82cd1332a_Application">
    <vt:lpwstr>Microsoft Azure Information Protection</vt:lpwstr>
  </property>
  <property fmtid="{D5CDD505-2E9C-101B-9397-08002B2CF9AE}" pid="15" name="MSIP_Label_9811530c-902c-4b75-8616-d6c82cd1332a_Parent">
    <vt:lpwstr>f7f8580f-1005-4a37-8c38-a5a2bd628a66</vt:lpwstr>
  </property>
  <property fmtid="{D5CDD505-2E9C-101B-9397-08002B2CF9AE}" pid="16" name="MSIP_Label_9811530c-902c-4b75-8616-d6c82cd1332a_Extended_MSFT_Method">
    <vt:lpwstr>Automatic</vt:lpwstr>
  </property>
  <property fmtid="{D5CDD505-2E9C-101B-9397-08002B2CF9AE}" pid="17" name="Sensitivity">
    <vt:lpwstr>Public No personal data</vt:lpwstr>
  </property>
</Properties>
</file>